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Accidents" sheetId="1" r:id="rId1"/>
    <sheet name="Immunization" sheetId="2" r:id="rId2"/>
    <sheet name="Telecom" sheetId="3" r:id="rId3"/>
    <sheet name="Veterinary" sheetId="5" r:id="rId4"/>
    <sheet name="T.B" sheetId="7" r:id="rId5"/>
    <sheet name="Museum" sheetId="8" r:id="rId6"/>
  </sheets>
  <calcPr calcId="145621"/>
</workbook>
</file>

<file path=xl/calcChain.xml><?xml version="1.0" encoding="utf-8"?>
<calcChain xmlns="http://schemas.openxmlformats.org/spreadsheetml/2006/main">
  <c r="M160" i="8" l="1"/>
  <c r="L160" i="8"/>
  <c r="K160" i="8"/>
  <c r="J160" i="8"/>
  <c r="I160" i="8"/>
  <c r="H160" i="8"/>
  <c r="G160" i="8"/>
  <c r="F160" i="8"/>
  <c r="E160" i="8"/>
  <c r="D160" i="8"/>
  <c r="C160" i="8"/>
  <c r="B160" i="8"/>
  <c r="M159" i="8"/>
  <c r="K159" i="8"/>
  <c r="I159" i="8"/>
  <c r="G159" i="8"/>
  <c r="E159" i="8"/>
  <c r="C159" i="8"/>
  <c r="K158" i="8"/>
  <c r="I158" i="8"/>
  <c r="C158" i="8"/>
  <c r="M157" i="8"/>
  <c r="M156" i="8"/>
  <c r="I156" i="8"/>
  <c r="G156" i="8"/>
  <c r="E156" i="8"/>
  <c r="C156" i="8"/>
  <c r="G155" i="8"/>
  <c r="E155" i="8"/>
  <c r="C155" i="8"/>
  <c r="M154" i="8"/>
  <c r="K154" i="8"/>
  <c r="I154" i="8"/>
  <c r="G154" i="8"/>
  <c r="E154" i="8"/>
  <c r="C154" i="8"/>
  <c r="M153" i="8"/>
  <c r="K153" i="8"/>
  <c r="G153" i="8"/>
  <c r="E153" i="8"/>
  <c r="M152" i="8"/>
  <c r="K152" i="8"/>
  <c r="I152" i="8"/>
  <c r="G152" i="8"/>
  <c r="E152" i="8"/>
  <c r="C152" i="8"/>
  <c r="M151" i="8"/>
  <c r="K151" i="8"/>
  <c r="I151" i="8"/>
  <c r="G151" i="8"/>
  <c r="E151" i="8"/>
  <c r="C151" i="8"/>
  <c r="M150" i="8"/>
  <c r="K150" i="8"/>
  <c r="I150" i="8"/>
  <c r="G150" i="8"/>
  <c r="E150" i="8"/>
  <c r="C150" i="8"/>
  <c r="M149" i="8"/>
  <c r="K149" i="8"/>
  <c r="I149" i="8"/>
  <c r="G149" i="8"/>
  <c r="E149" i="8"/>
  <c r="C149" i="8"/>
  <c r="M148" i="8"/>
  <c r="K148" i="8"/>
  <c r="J148" i="8"/>
  <c r="I148" i="8"/>
  <c r="I146" i="8" s="1"/>
  <c r="I132" i="8" s="1"/>
  <c r="H148" i="8"/>
  <c r="G148" i="8"/>
  <c r="F148" i="8"/>
  <c r="E148" i="8"/>
  <c r="D148" i="8"/>
  <c r="C148" i="8"/>
  <c r="M147" i="8"/>
  <c r="M146" i="8" s="1"/>
  <c r="M132" i="8" s="1"/>
  <c r="K147" i="8"/>
  <c r="I147" i="8"/>
  <c r="G147" i="8"/>
  <c r="E147" i="8"/>
  <c r="E146" i="8" s="1"/>
  <c r="E132" i="8" s="1"/>
  <c r="C147" i="8"/>
  <c r="L146" i="8"/>
  <c r="K146" i="8"/>
  <c r="J146" i="8"/>
  <c r="H146" i="8"/>
  <c r="G146" i="8"/>
  <c r="F146" i="8"/>
  <c r="D146" i="8"/>
  <c r="C146" i="8"/>
  <c r="B146" i="8"/>
  <c r="M145" i="8"/>
  <c r="K145" i="8"/>
  <c r="K141" i="8" s="1"/>
  <c r="K132" i="8" s="1"/>
  <c r="I145" i="8"/>
  <c r="G145" i="8"/>
  <c r="G141" i="8" s="1"/>
  <c r="G132" i="8" s="1"/>
  <c r="E145" i="8"/>
  <c r="C145" i="8"/>
  <c r="M142" i="8"/>
  <c r="I142" i="8"/>
  <c r="E142" i="8"/>
  <c r="C142" i="8"/>
  <c r="C141" i="8" s="1"/>
  <c r="C132" i="8" s="1"/>
  <c r="M141" i="8"/>
  <c r="L141" i="8"/>
  <c r="J141" i="8"/>
  <c r="I141" i="8"/>
  <c r="H141" i="8"/>
  <c r="F141" i="8"/>
  <c r="E141" i="8"/>
  <c r="D141" i="8"/>
  <c r="B141" i="8"/>
  <c r="M133" i="8"/>
  <c r="L133" i="8"/>
  <c r="K133" i="8"/>
  <c r="J133" i="8"/>
  <c r="I133" i="8"/>
  <c r="H133" i="8"/>
  <c r="G133" i="8"/>
  <c r="F133" i="8"/>
  <c r="E133" i="8"/>
  <c r="D133" i="8"/>
  <c r="C133" i="8"/>
  <c r="B133" i="8"/>
  <c r="L132" i="8"/>
  <c r="J132" i="8"/>
  <c r="H132" i="8"/>
  <c r="F132" i="8"/>
  <c r="D132" i="8"/>
  <c r="B132" i="8"/>
  <c r="M122" i="8"/>
  <c r="L122" i="8"/>
  <c r="K122" i="8"/>
  <c r="J122" i="8"/>
  <c r="I122" i="8"/>
  <c r="H122" i="8"/>
  <c r="G122" i="8"/>
  <c r="F122" i="8"/>
  <c r="E122" i="8"/>
  <c r="D122" i="8"/>
  <c r="C122" i="8"/>
  <c r="B122" i="8"/>
  <c r="K121" i="8"/>
  <c r="I121" i="8"/>
  <c r="G121" i="8"/>
  <c r="E121" i="8"/>
  <c r="C121" i="8"/>
  <c r="M120" i="8"/>
  <c r="G120" i="8"/>
  <c r="M118" i="8"/>
  <c r="K118" i="8"/>
  <c r="I118" i="8"/>
  <c r="G118" i="8"/>
  <c r="E118" i="8"/>
  <c r="M117" i="8"/>
  <c r="I117" i="8"/>
  <c r="G117" i="8"/>
  <c r="E117" i="8"/>
  <c r="C117" i="8"/>
  <c r="M116" i="8"/>
  <c r="K116" i="8"/>
  <c r="I116" i="8"/>
  <c r="G116" i="8"/>
  <c r="E116" i="8"/>
  <c r="C116" i="8"/>
  <c r="M115" i="8"/>
  <c r="M114" i="8"/>
  <c r="I114" i="8"/>
  <c r="G114" i="8"/>
  <c r="E114" i="8"/>
  <c r="C114" i="8"/>
  <c r="M113" i="8"/>
  <c r="K113" i="8"/>
  <c r="I113" i="8"/>
  <c r="G113" i="8"/>
  <c r="E113" i="8"/>
  <c r="C113" i="8"/>
  <c r="M112" i="8"/>
  <c r="K112" i="8"/>
  <c r="I112" i="8"/>
  <c r="G112" i="8"/>
  <c r="E112" i="8"/>
  <c r="C112" i="8"/>
  <c r="M111" i="8"/>
  <c r="K111" i="8"/>
  <c r="I111" i="8"/>
  <c r="G111" i="8"/>
  <c r="E111" i="8"/>
  <c r="C111" i="8"/>
  <c r="M110" i="8"/>
  <c r="M108" i="8" s="1"/>
  <c r="M94" i="8" s="1"/>
  <c r="E110" i="8"/>
  <c r="C110" i="8"/>
  <c r="M109" i="8"/>
  <c r="K109" i="8"/>
  <c r="K108" i="8" s="1"/>
  <c r="I109" i="8"/>
  <c r="G109" i="8"/>
  <c r="G108" i="8" s="1"/>
  <c r="E109" i="8"/>
  <c r="C109" i="8"/>
  <c r="C108" i="8" s="1"/>
  <c r="L108" i="8"/>
  <c r="J108" i="8"/>
  <c r="I108" i="8"/>
  <c r="H108" i="8"/>
  <c r="F108" i="8"/>
  <c r="E108" i="8"/>
  <c r="D108" i="8"/>
  <c r="B108" i="8"/>
  <c r="M107" i="8"/>
  <c r="K107" i="8"/>
  <c r="I107" i="8"/>
  <c r="G107" i="8"/>
  <c r="E107" i="8"/>
  <c r="C107" i="8"/>
  <c r="M104" i="8"/>
  <c r="K104" i="8"/>
  <c r="K103" i="8" s="1"/>
  <c r="K94" i="8" s="1"/>
  <c r="I104" i="8"/>
  <c r="G104" i="8"/>
  <c r="G103" i="8" s="1"/>
  <c r="G94" i="8" s="1"/>
  <c r="E104" i="8"/>
  <c r="C104" i="8"/>
  <c r="C103" i="8" s="1"/>
  <c r="C94" i="8" s="1"/>
  <c r="M103" i="8"/>
  <c r="L103" i="8"/>
  <c r="J103" i="8"/>
  <c r="I103" i="8"/>
  <c r="H103" i="8"/>
  <c r="F103" i="8"/>
  <c r="E103" i="8"/>
  <c r="D103" i="8"/>
  <c r="B103" i="8"/>
  <c r="M95" i="8"/>
  <c r="L95" i="8"/>
  <c r="K95" i="8"/>
  <c r="J95" i="8"/>
  <c r="I95" i="8"/>
  <c r="H95" i="8"/>
  <c r="G95" i="8"/>
  <c r="F95" i="8"/>
  <c r="E95" i="8"/>
  <c r="D95" i="8"/>
  <c r="C95" i="8"/>
  <c r="B95" i="8"/>
  <c r="L94" i="8"/>
  <c r="J94" i="8"/>
  <c r="I94" i="8"/>
  <c r="H94" i="8"/>
  <c r="F94" i="8"/>
  <c r="E94" i="8"/>
  <c r="D94" i="8"/>
  <c r="B94" i="8"/>
  <c r="M84" i="8"/>
  <c r="L84" i="8"/>
  <c r="L51" i="8" s="1"/>
  <c r="K84" i="8"/>
  <c r="J84" i="8"/>
  <c r="I84" i="8"/>
  <c r="H84" i="8"/>
  <c r="H51" i="8" s="1"/>
  <c r="G84" i="8"/>
  <c r="F84" i="8"/>
  <c r="E84" i="8"/>
  <c r="D84" i="8"/>
  <c r="D51" i="8" s="1"/>
  <c r="C84" i="8"/>
  <c r="B84" i="8"/>
  <c r="M83" i="8"/>
  <c r="K83" i="8"/>
  <c r="I83" i="8"/>
  <c r="G83" i="8"/>
  <c r="E83" i="8"/>
  <c r="C83" i="8"/>
  <c r="M81" i="8"/>
  <c r="K81" i="8"/>
  <c r="I81" i="8"/>
  <c r="G81" i="8"/>
  <c r="E81" i="8"/>
  <c r="C81" i="8"/>
  <c r="M80" i="8"/>
  <c r="K80" i="8"/>
  <c r="I80" i="8"/>
  <c r="G80" i="8"/>
  <c r="E80" i="8"/>
  <c r="C80" i="8"/>
  <c r="M79" i="8"/>
  <c r="K79" i="8"/>
  <c r="I79" i="8"/>
  <c r="G79" i="8"/>
  <c r="E79" i="8"/>
  <c r="C79" i="8"/>
  <c r="M78" i="8"/>
  <c r="K78" i="8"/>
  <c r="I78" i="8"/>
  <c r="G78" i="8"/>
  <c r="E78" i="8"/>
  <c r="C78" i="8"/>
  <c r="M76" i="8"/>
  <c r="K76" i="8"/>
  <c r="I76" i="8"/>
  <c r="I73" i="8" s="1"/>
  <c r="I51" i="8" s="1"/>
  <c r="M75" i="8"/>
  <c r="K75" i="8"/>
  <c r="I75" i="8"/>
  <c r="G75" i="8"/>
  <c r="G73" i="8" s="1"/>
  <c r="E75" i="8"/>
  <c r="C75" i="8"/>
  <c r="M74" i="8"/>
  <c r="K74" i="8"/>
  <c r="K73" i="8" s="1"/>
  <c r="I74" i="8"/>
  <c r="G74" i="8"/>
  <c r="E74" i="8"/>
  <c r="C74" i="8"/>
  <c r="C73" i="8" s="1"/>
  <c r="M73" i="8"/>
  <c r="L73" i="8"/>
  <c r="J73" i="8"/>
  <c r="H73" i="8"/>
  <c r="F73" i="8"/>
  <c r="E73" i="8"/>
  <c r="D73" i="8"/>
  <c r="B73" i="8"/>
  <c r="M70" i="8"/>
  <c r="K70" i="8"/>
  <c r="I70" i="8"/>
  <c r="G70" i="8"/>
  <c r="G65" i="8" s="1"/>
  <c r="G51" i="8" s="1"/>
  <c r="E70" i="8"/>
  <c r="C70" i="8"/>
  <c r="M68" i="8"/>
  <c r="I68" i="8"/>
  <c r="E68" i="8"/>
  <c r="C68" i="8"/>
  <c r="M66" i="8"/>
  <c r="K66" i="8"/>
  <c r="K65" i="8" s="1"/>
  <c r="K51" i="8" s="1"/>
  <c r="I66" i="8"/>
  <c r="G66" i="8"/>
  <c r="E66" i="8"/>
  <c r="C66" i="8"/>
  <c r="C65" i="8" s="1"/>
  <c r="C51" i="8" s="1"/>
  <c r="M65" i="8"/>
  <c r="L65" i="8"/>
  <c r="J65" i="8"/>
  <c r="I65" i="8"/>
  <c r="H65" i="8"/>
  <c r="F65" i="8"/>
  <c r="E65" i="8"/>
  <c r="D65" i="8"/>
  <c r="B65" i="8"/>
  <c r="M57" i="8"/>
  <c r="L57" i="8"/>
  <c r="K57" i="8"/>
  <c r="J57" i="8"/>
  <c r="I57" i="8"/>
  <c r="H57" i="8"/>
  <c r="G57" i="8"/>
  <c r="F57" i="8"/>
  <c r="E57" i="8"/>
  <c r="D57" i="8"/>
  <c r="C57" i="8"/>
  <c r="B57" i="8"/>
  <c r="M52" i="8"/>
  <c r="L52" i="8"/>
  <c r="K52" i="8"/>
  <c r="J52" i="8"/>
  <c r="I52" i="8"/>
  <c r="H52" i="8"/>
  <c r="G52" i="8"/>
  <c r="F52" i="8"/>
  <c r="E52" i="8"/>
  <c r="D52" i="8"/>
  <c r="C52" i="8"/>
  <c r="B52" i="8"/>
  <c r="M51" i="8"/>
  <c r="J51" i="8"/>
  <c r="F51" i="8"/>
  <c r="E51" i="8"/>
  <c r="B51" i="8"/>
  <c r="M38" i="8"/>
  <c r="L38" i="8"/>
  <c r="K38" i="8"/>
  <c r="J38" i="8"/>
  <c r="J5" i="8" s="1"/>
  <c r="I38" i="8"/>
  <c r="H38" i="8"/>
  <c r="G38" i="8"/>
  <c r="F38" i="8"/>
  <c r="F5" i="8" s="1"/>
  <c r="E38" i="8"/>
  <c r="D38" i="8"/>
  <c r="C38" i="8"/>
  <c r="B38" i="8"/>
  <c r="M37" i="8"/>
  <c r="K37" i="8"/>
  <c r="I37" i="8"/>
  <c r="G37" i="8"/>
  <c r="E37" i="8"/>
  <c r="C37" i="8"/>
  <c r="M35" i="8"/>
  <c r="K35" i="8"/>
  <c r="I35" i="8"/>
  <c r="G35" i="8"/>
  <c r="E35" i="8"/>
  <c r="C35" i="8"/>
  <c r="M34" i="8"/>
  <c r="K34" i="8"/>
  <c r="I34" i="8"/>
  <c r="G34" i="8"/>
  <c r="E34" i="8"/>
  <c r="C34" i="8"/>
  <c r="M33" i="8"/>
  <c r="K33" i="8"/>
  <c r="I33" i="8"/>
  <c r="G33" i="8"/>
  <c r="E33" i="8"/>
  <c r="C33" i="8"/>
  <c r="M32" i="8"/>
  <c r="K32" i="8"/>
  <c r="I32" i="8"/>
  <c r="G32" i="8"/>
  <c r="E32" i="8"/>
  <c r="C32" i="8"/>
  <c r="M29" i="8"/>
  <c r="K29" i="8"/>
  <c r="I29" i="8"/>
  <c r="I27" i="8" s="1"/>
  <c r="G29" i="8"/>
  <c r="E29" i="8"/>
  <c r="C29" i="8"/>
  <c r="M28" i="8"/>
  <c r="M27" i="8" s="1"/>
  <c r="K28" i="8"/>
  <c r="I28" i="8"/>
  <c r="G28" i="8"/>
  <c r="E28" i="8"/>
  <c r="E27" i="8" s="1"/>
  <c r="C28" i="8"/>
  <c r="L27" i="8"/>
  <c r="K27" i="8"/>
  <c r="J27" i="8"/>
  <c r="H27" i="8"/>
  <c r="G27" i="8"/>
  <c r="F27" i="8"/>
  <c r="D27" i="8"/>
  <c r="C27" i="8"/>
  <c r="B27" i="8"/>
  <c r="M24" i="8"/>
  <c r="K24" i="8"/>
  <c r="I24" i="8"/>
  <c r="I19" i="8" s="1"/>
  <c r="G24" i="8"/>
  <c r="E24" i="8"/>
  <c r="C24" i="8"/>
  <c r="M22" i="8"/>
  <c r="M19" i="8" s="1"/>
  <c r="K22" i="8"/>
  <c r="I22" i="8"/>
  <c r="G22" i="8"/>
  <c r="E22" i="8"/>
  <c r="E19" i="8" s="1"/>
  <c r="C22" i="8"/>
  <c r="K20" i="8"/>
  <c r="K19" i="8" s="1"/>
  <c r="K5" i="8" s="1"/>
  <c r="I20" i="8"/>
  <c r="G20" i="8"/>
  <c r="G19" i="8" s="1"/>
  <c r="G5" i="8" s="1"/>
  <c r="E20" i="8"/>
  <c r="C20" i="8"/>
  <c r="C19" i="8" s="1"/>
  <c r="C5" i="8" s="1"/>
  <c r="L19" i="8"/>
  <c r="J19" i="8"/>
  <c r="H19" i="8"/>
  <c r="F19" i="8"/>
  <c r="D19" i="8"/>
  <c r="B19" i="8"/>
  <c r="M11" i="8"/>
  <c r="L11" i="8"/>
  <c r="K11" i="8"/>
  <c r="J11" i="8"/>
  <c r="I11" i="8"/>
  <c r="H11" i="8"/>
  <c r="G11" i="8"/>
  <c r="F11" i="8"/>
  <c r="E11" i="8"/>
  <c r="D11" i="8"/>
  <c r="C11" i="8"/>
  <c r="B11" i="8"/>
  <c r="M6" i="8"/>
  <c r="L6" i="8"/>
  <c r="K6" i="8"/>
  <c r="J6" i="8"/>
  <c r="I6" i="8"/>
  <c r="H6" i="8"/>
  <c r="G6" i="8"/>
  <c r="F6" i="8"/>
  <c r="E6" i="8"/>
  <c r="D6" i="8"/>
  <c r="C6" i="8"/>
  <c r="B6" i="8"/>
  <c r="L5" i="8"/>
  <c r="H5" i="8"/>
  <c r="D5" i="8"/>
  <c r="B5" i="8"/>
  <c r="E5" i="8" l="1"/>
  <c r="M5" i="8"/>
  <c r="I5" i="8"/>
  <c r="I5" i="5" l="1"/>
  <c r="I6" i="5"/>
  <c r="I7" i="5"/>
  <c r="I8" i="5"/>
  <c r="I9" i="5"/>
  <c r="I10" i="5"/>
  <c r="I11" i="5"/>
  <c r="I12" i="5"/>
  <c r="I13" i="5"/>
  <c r="I14" i="5"/>
  <c r="I15" i="5"/>
  <c r="I4" i="5"/>
  <c r="G68" i="7" l="1"/>
  <c r="E68" i="7"/>
  <c r="D68" i="7"/>
  <c r="C68" i="7"/>
  <c r="B68" i="7"/>
  <c r="F67" i="7"/>
  <c r="F66" i="7"/>
  <c r="F65" i="7"/>
  <c r="F64" i="7"/>
  <c r="F63" i="7"/>
  <c r="F62" i="7"/>
  <c r="F61" i="7"/>
  <c r="F68" i="7" s="1"/>
  <c r="G50" i="7"/>
  <c r="F50" i="7"/>
  <c r="E50" i="7"/>
  <c r="D50" i="7"/>
  <c r="C50" i="7"/>
  <c r="B50" i="7"/>
  <c r="G32" i="7"/>
  <c r="F32" i="7"/>
  <c r="E32" i="7"/>
  <c r="D32" i="7"/>
  <c r="C32" i="7"/>
  <c r="B32" i="7"/>
  <c r="G13" i="7"/>
  <c r="F13" i="7"/>
  <c r="E13" i="7"/>
  <c r="D13" i="7"/>
  <c r="C13" i="7"/>
  <c r="B13" i="7"/>
  <c r="F72" i="1" l="1"/>
  <c r="B72" i="1"/>
  <c r="B71" i="1"/>
  <c r="F70" i="1"/>
  <c r="B70" i="1"/>
  <c r="F69" i="1"/>
  <c r="E69" i="1"/>
  <c r="B69" i="1"/>
  <c r="F68" i="1"/>
  <c r="E68" i="1"/>
  <c r="B68" i="1"/>
  <c r="F67" i="1"/>
  <c r="B67" i="1"/>
  <c r="F66" i="1"/>
  <c r="B66" i="1"/>
  <c r="B65" i="1"/>
  <c r="B64" i="1"/>
  <c r="F63" i="1"/>
  <c r="B63" i="1"/>
  <c r="B62" i="1"/>
  <c r="B61" i="1"/>
  <c r="B58" i="1"/>
  <c r="B57" i="1"/>
  <c r="B56" i="1"/>
  <c r="B55" i="1"/>
  <c r="B54" i="1"/>
  <c r="B53" i="1"/>
  <c r="B52" i="1"/>
  <c r="E51" i="1"/>
  <c r="B51" i="1"/>
  <c r="B50" i="1"/>
  <c r="B49" i="1"/>
  <c r="B48" i="1"/>
  <c r="B47" i="1"/>
  <c r="B44" i="1"/>
  <c r="F43" i="1"/>
  <c r="E43" i="1"/>
  <c r="B43" i="1"/>
  <c r="B42" i="1"/>
  <c r="F41" i="1"/>
  <c r="B41" i="1"/>
  <c r="F40" i="1"/>
  <c r="E40" i="1"/>
  <c r="B40" i="1"/>
  <c r="F39" i="1"/>
  <c r="B39" i="1"/>
  <c r="F38" i="1"/>
  <c r="B38" i="1"/>
  <c r="B37" i="1"/>
  <c r="F36" i="1"/>
  <c r="B36" i="1"/>
  <c r="F35" i="1"/>
  <c r="B35" i="1"/>
  <c r="F34" i="1"/>
  <c r="B34" i="1"/>
  <c r="F33" i="1"/>
  <c r="B33" i="1"/>
  <c r="B30" i="1"/>
  <c r="B29" i="1"/>
  <c r="B28" i="1"/>
  <c r="B27" i="1"/>
  <c r="B26" i="1"/>
  <c r="B25" i="1"/>
  <c r="B24" i="1"/>
  <c r="B23" i="1"/>
  <c r="B22" i="1"/>
  <c r="B21" i="1"/>
  <c r="B20" i="1"/>
  <c r="B19" i="1"/>
  <c r="B16" i="1"/>
  <c r="F15" i="1"/>
  <c r="B15" i="1"/>
  <c r="B14" i="1"/>
  <c r="B13" i="1"/>
  <c r="B12" i="1"/>
  <c r="B11" i="1"/>
  <c r="B10" i="1"/>
  <c r="B9" i="1"/>
  <c r="B8" i="1"/>
  <c r="B7" i="1"/>
  <c r="B6" i="1"/>
  <c r="B5" i="1"/>
  <c r="H36" i="5" l="1"/>
  <c r="G36" i="5"/>
  <c r="F36" i="5"/>
  <c r="E36" i="5"/>
  <c r="D36" i="5"/>
  <c r="C36" i="5"/>
  <c r="H16" i="5"/>
  <c r="G16" i="5"/>
  <c r="F16" i="5"/>
  <c r="E16" i="5"/>
  <c r="D16" i="5"/>
  <c r="C16" i="5"/>
  <c r="I16" i="5" l="1"/>
  <c r="G18" i="3" l="1"/>
  <c r="F18" i="3"/>
  <c r="E18" i="3"/>
  <c r="D18" i="3"/>
  <c r="C18" i="3"/>
  <c r="B17" i="3"/>
  <c r="B16" i="3"/>
  <c r="B15" i="3"/>
  <c r="B14" i="3"/>
  <c r="B13" i="3"/>
  <c r="B12" i="3"/>
  <c r="B11" i="3"/>
  <c r="B10" i="3"/>
  <c r="B9" i="3"/>
  <c r="B8" i="3"/>
  <c r="B7" i="3"/>
  <c r="B6" i="3"/>
  <c r="B18" i="3" l="1"/>
  <c r="K54" i="2"/>
  <c r="J54" i="2"/>
  <c r="I54" i="2"/>
  <c r="H54" i="2"/>
  <c r="G54" i="2"/>
  <c r="F54" i="2"/>
  <c r="E54" i="2"/>
  <c r="D54" i="2"/>
  <c r="C54" i="2"/>
  <c r="B54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G86" i="1" l="1"/>
  <c r="F86" i="1"/>
  <c r="E86" i="1"/>
  <c r="D86" i="1"/>
  <c r="C86" i="1"/>
  <c r="G85" i="1"/>
  <c r="E85" i="1"/>
  <c r="D85" i="1"/>
  <c r="C85" i="1"/>
  <c r="G84" i="1"/>
  <c r="E84" i="1"/>
  <c r="D84" i="1"/>
  <c r="C84" i="1"/>
  <c r="G83" i="1"/>
  <c r="D83" i="1"/>
  <c r="C83" i="1"/>
  <c r="G82" i="1"/>
  <c r="D82" i="1"/>
  <c r="C82" i="1"/>
  <c r="G81" i="1"/>
  <c r="E81" i="1"/>
  <c r="D81" i="1"/>
  <c r="C81" i="1"/>
  <c r="G80" i="1"/>
  <c r="E80" i="1"/>
  <c r="D80" i="1"/>
  <c r="C80" i="1"/>
  <c r="G79" i="1"/>
  <c r="F79" i="1"/>
  <c r="D79" i="1"/>
  <c r="C79" i="1"/>
  <c r="G78" i="1"/>
  <c r="E78" i="1"/>
  <c r="D78" i="1"/>
  <c r="C78" i="1"/>
  <c r="G77" i="1"/>
  <c r="E77" i="1"/>
  <c r="D77" i="1"/>
  <c r="C77" i="1"/>
  <c r="G76" i="1"/>
  <c r="E76" i="1"/>
  <c r="D76" i="1"/>
  <c r="C76" i="1"/>
  <c r="G75" i="1"/>
  <c r="F75" i="1"/>
  <c r="E75" i="1"/>
  <c r="D75" i="1"/>
  <c r="C75" i="1"/>
  <c r="G73" i="1"/>
  <c r="D73" i="1"/>
  <c r="C73" i="1"/>
  <c r="B73" i="1" s="1"/>
  <c r="F84" i="1"/>
  <c r="E83" i="1"/>
  <c r="E73" i="1"/>
  <c r="F73" i="1"/>
  <c r="G59" i="1"/>
  <c r="F59" i="1"/>
  <c r="E59" i="1"/>
  <c r="D59" i="1"/>
  <c r="C59" i="1"/>
  <c r="B59" i="1"/>
  <c r="E79" i="1"/>
  <c r="G45" i="1"/>
  <c r="E45" i="1"/>
  <c r="D45" i="1"/>
  <c r="C45" i="1"/>
  <c r="B45" i="1" s="1"/>
  <c r="F83" i="1"/>
  <c r="F82" i="1"/>
  <c r="E82" i="1"/>
  <c r="F81" i="1"/>
  <c r="F80" i="1"/>
  <c r="F78" i="1"/>
  <c r="F77" i="1"/>
  <c r="F76" i="1"/>
  <c r="F45" i="1"/>
  <c r="G31" i="1"/>
  <c r="F31" i="1"/>
  <c r="E31" i="1"/>
  <c r="D31" i="1"/>
  <c r="C31" i="1"/>
  <c r="B31" i="1" s="1"/>
  <c r="G17" i="1"/>
  <c r="F17" i="1"/>
  <c r="F87" i="1" s="1"/>
  <c r="E17" i="1"/>
  <c r="D17" i="1"/>
  <c r="D87" i="1" s="1"/>
  <c r="C17" i="1"/>
  <c r="B17" i="1"/>
  <c r="B86" i="1"/>
  <c r="F85" i="1"/>
  <c r="B85" i="1"/>
  <c r="B84" i="1"/>
  <c r="B83" i="1"/>
  <c r="B82" i="1"/>
  <c r="B81" i="1"/>
  <c r="B80" i="1"/>
  <c r="B79" i="1"/>
  <c r="B78" i="1"/>
  <c r="B77" i="1"/>
  <c r="B76" i="1"/>
  <c r="B75" i="1"/>
  <c r="E87" i="1" l="1"/>
  <c r="C87" i="1"/>
  <c r="G87" i="1"/>
  <c r="B87" i="1"/>
</calcChain>
</file>

<file path=xl/sharedStrings.xml><?xml version="1.0" encoding="utf-8"?>
<sst xmlns="http://schemas.openxmlformats.org/spreadsheetml/2006/main" count="660" uniqueCount="206">
  <si>
    <t>Data on Traffic accidents 2023</t>
  </si>
  <si>
    <t>Year/Month</t>
  </si>
  <si>
    <t>Total Number of Accidents</t>
  </si>
  <si>
    <t>Accident</t>
  </si>
  <si>
    <t>Persons</t>
  </si>
  <si>
    <t>Total Number of Vehicles Involved</t>
  </si>
  <si>
    <t>Fatal</t>
  </si>
  <si>
    <t>Non - Fatal</t>
  </si>
  <si>
    <t>Killed</t>
  </si>
  <si>
    <t>Injured</t>
  </si>
  <si>
    <t>Islamabad</t>
  </si>
  <si>
    <t>January</t>
  </si>
  <si>
    <t>Feburary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</si>
  <si>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</si>
  <si>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</si>
  <si>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</si>
  <si>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</si>
  <si>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</si>
  <si>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</si>
  <si>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</si>
  <si>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</si>
  <si>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</si>
  <si>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</si>
  <si>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</si>
  <si>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Punjab</t>
  </si>
  <si>
    <t>Sindh</t>
  </si>
  <si>
    <t>KP</t>
  </si>
  <si>
    <t>Balochistan</t>
  </si>
  <si>
    <t>Pakistan</t>
  </si>
  <si>
    <t>Monthly Immunization Coverage during 2023</t>
  </si>
  <si>
    <t>Number of doses administered ( 0-11 months )children during 2023</t>
  </si>
  <si>
    <t>MONTH(s)</t>
  </si>
  <si>
    <t>BCG</t>
  </si>
  <si>
    <t>OPV-0</t>
  </si>
  <si>
    <t>OPV-1</t>
  </si>
  <si>
    <t>OPV-2</t>
  </si>
  <si>
    <t>OPV-3</t>
  </si>
  <si>
    <t>IPV</t>
  </si>
  <si>
    <t>Penta-valent-1</t>
  </si>
  <si>
    <t>Penta-valent-2</t>
  </si>
  <si>
    <t>Pentav-alent-3</t>
  </si>
  <si>
    <t>Pneumo-1</t>
  </si>
  <si>
    <t>Pneumo-2</t>
  </si>
  <si>
    <t>Pneumo-3</t>
  </si>
  <si>
    <t>Rota-1</t>
  </si>
  <si>
    <t>Rota-2</t>
  </si>
  <si>
    <t>Measles-1</t>
  </si>
  <si>
    <t>February</t>
  </si>
  <si>
    <t>IPV:Inative Polio Vaccine</t>
  </si>
  <si>
    <t>Contd.</t>
  </si>
  <si>
    <t>Number of doses administered (12-23 Months ) children during 2023</t>
  </si>
  <si>
    <t>MONTH</t>
  </si>
  <si>
    <t>Pentav-alent-2</t>
  </si>
  <si>
    <t>Pneumo</t>
  </si>
  <si>
    <t>Measles-2</t>
  </si>
  <si>
    <t>Number of TT doses administered to  women during 2023</t>
  </si>
  <si>
    <t>Pregnant Women</t>
  </si>
  <si>
    <t>Childbearing age women</t>
  </si>
  <si>
    <t>TT1</t>
  </si>
  <si>
    <t>TT2</t>
  </si>
  <si>
    <t>TT3</t>
  </si>
  <si>
    <t>TT4</t>
  </si>
  <si>
    <t>TT5</t>
  </si>
  <si>
    <t>Source :- Federal EPI/CDD Cell, NIH, Islamabad</t>
  </si>
  <si>
    <t>MONTHLY DATA FOR THE MONTH OF JANUARY –DECEMBER, 2023</t>
  </si>
  <si>
    <t>Months</t>
  </si>
  <si>
    <t>Distribution of  Cellular Mobile Subscribers</t>
  </si>
  <si>
    <t>PMCL</t>
  </si>
  <si>
    <t>CM Pak             (Zong)</t>
  </si>
  <si>
    <t xml:space="preserve">PTML </t>
  </si>
  <si>
    <t>Telenor</t>
  </si>
  <si>
    <t>SCO</t>
  </si>
  <si>
    <t>(Jazz)</t>
  </si>
  <si>
    <t>Ufone</t>
  </si>
  <si>
    <t xml:space="preserve">June </t>
  </si>
  <si>
    <t>TOTAL</t>
  </si>
  <si>
    <t>Note:-  Warid merged PMCL (Moblink ) with new name PMCL (Jazz) from January-2017.</t>
  </si>
  <si>
    <t>Source.</t>
  </si>
  <si>
    <t>Pakistan Telecomunication Authority, Islamabad</t>
  </si>
  <si>
    <t>Area/ attraction</t>
  </si>
  <si>
    <t xml:space="preserve"> March</t>
  </si>
  <si>
    <t>Foreigner</t>
  </si>
  <si>
    <t>National</t>
  </si>
  <si>
    <t>PAKISTAN</t>
  </si>
  <si>
    <t>ISLAMABAD</t>
  </si>
  <si>
    <t>Pakistan Museum of Natural History</t>
  </si>
  <si>
    <t>Lok Virsa Heritage Museum</t>
  </si>
  <si>
    <t>Pakistan Monument Museum</t>
  </si>
  <si>
    <t>Pakistan Railway Heritage Museum</t>
  </si>
  <si>
    <t>PUNJAB</t>
  </si>
  <si>
    <t>Lahore Museum Lahore</t>
  </si>
  <si>
    <t>Allama Iqbal Library &amp; Museum, Sialkot.</t>
  </si>
  <si>
    <t>Lahore Fort (walled city)</t>
  </si>
  <si>
    <t>Museum, Taxila, Rawalpindi</t>
  </si>
  <si>
    <t>Museum, Harappa, District Sahiwal.</t>
  </si>
  <si>
    <t>Allama Iqbal Museum, Javaid Manzil, Lahore</t>
  </si>
  <si>
    <t>PMDC Khewara Mines Museum, Chakwal</t>
  </si>
  <si>
    <t>SINDH</t>
  </si>
  <si>
    <t>National Museum of Pakistan, Karachi</t>
  </si>
  <si>
    <t>Sindh Provincial Museum, Hyderabad.</t>
  </si>
  <si>
    <t>Museum, Bhambore, District Thatta.</t>
  </si>
  <si>
    <t>Museum,Monjodaro, Distric Larkana.</t>
  </si>
  <si>
    <t>Museum Umerkot, District Tharparkar.</t>
  </si>
  <si>
    <t>Quid-e-Azam Birth Place, Karachi.</t>
  </si>
  <si>
    <t>Quid-e-Azam  House Muesum, Karachi.</t>
  </si>
  <si>
    <t>Khyber Pakthunkhwa</t>
  </si>
  <si>
    <t>Peshawar Museum, Peshawar.</t>
  </si>
  <si>
    <t xml:space="preserve">Sawat Museum </t>
  </si>
  <si>
    <t>Dir Museum,  Chekdara</t>
  </si>
  <si>
    <t>Hund Museum, Swabi</t>
  </si>
  <si>
    <t>Chitral Museum, Chitral</t>
  </si>
  <si>
    <t>Pushkalavati Museum, Charsadda</t>
  </si>
  <si>
    <t>Bannu Museum, Bannu</t>
  </si>
  <si>
    <t>City Museum Gor Khatri, Peshawar</t>
  </si>
  <si>
    <t>Mardan Museum, Mardan</t>
  </si>
  <si>
    <t>Kalasha Dur Museum Bumborate, Chitral</t>
  </si>
  <si>
    <t>BALOCHISTAN</t>
  </si>
  <si>
    <t>Mehargarh Museum Quetta</t>
  </si>
  <si>
    <t>Turbat Museum Distt: Kech</t>
  </si>
  <si>
    <t>Gawader Fort  Museum Distt: Gawader</t>
  </si>
  <si>
    <t>Note= Directorate of Aarchaeology &amp; Museum, Govt. of KP added new museums/Site in previous list</t>
  </si>
  <si>
    <r>
      <t xml:space="preserve">     </t>
    </r>
    <r>
      <rPr>
        <sz val="10"/>
        <rFont val="Arial"/>
        <family val="2"/>
      </rPr>
      <t>Contd.</t>
    </r>
    <r>
      <rPr>
        <sz val="12"/>
        <rFont val="Times New Roman"/>
        <family val="1"/>
      </rPr>
      <t>.</t>
    </r>
  </si>
  <si>
    <t xml:space="preserve">*= Remin closed due to repair &amp; maintainanc work    **= Museum remained closed due to preservation &amp; conservaton work. </t>
  </si>
  <si>
    <t xml:space="preserve">  March</t>
  </si>
  <si>
    <t>Jhangirs Tomb, Lahore</t>
  </si>
  <si>
    <t>Shalamar Garde, Lahore</t>
  </si>
  <si>
    <t>Haran Minar &amp; Tank, Sheikhupura</t>
  </si>
  <si>
    <t>Harappa, Sahiwal</t>
  </si>
  <si>
    <t>Taxila, Rawalpindi</t>
  </si>
  <si>
    <t>Mughal Garden Wah Cantt</t>
  </si>
  <si>
    <t>Bhambore, District Thatta.</t>
  </si>
  <si>
    <t>Makli Hill Monument, District Thatta</t>
  </si>
  <si>
    <t>Monjodaro, Distric Larkana.</t>
  </si>
  <si>
    <t>Umerkot Fort, District Tharparkar.</t>
  </si>
  <si>
    <t>Remains of Takht-e-Bhai, District Mardan</t>
  </si>
  <si>
    <t>Butkara Site Museum, Saidu Sharif, Swat</t>
  </si>
  <si>
    <t>Julian Site, Haripur</t>
  </si>
  <si>
    <t>Sethi House, Peshawar</t>
  </si>
  <si>
    <t>Jamal Garhi, Mardan</t>
  </si>
  <si>
    <t>Shehbaz Garhi, Mardan</t>
  </si>
  <si>
    <t>Ali Mardan Khan Villa Peshawar</t>
  </si>
  <si>
    <t>Saido Sharif Stupa, Swat</t>
  </si>
  <si>
    <t>Mehmood Ghazni Mosque &amp; Raja Gira Fort, Sawat</t>
  </si>
  <si>
    <t>Barikot (Bazira) Site, Swat</t>
  </si>
  <si>
    <t>Archaeological Site of Bhamla Haripur</t>
  </si>
  <si>
    <t xml:space="preserve">Archaelogical Site of Ashoka Rock Edict Mansehra </t>
  </si>
  <si>
    <t>Archaelogical Site Ranigat, Buner</t>
  </si>
  <si>
    <t>Jirgha Hall Sibi: Distt Sibi</t>
  </si>
  <si>
    <t>Quaid' Residency Distt: Ziarat</t>
  </si>
  <si>
    <t>Contd..</t>
  </si>
  <si>
    <t>Register Veterinary Medical Practitioner With PVMC- 2023</t>
  </si>
  <si>
    <t>S.No.</t>
  </si>
  <si>
    <t>RVMP Registration for the year of 2022</t>
  </si>
  <si>
    <t>Male</t>
  </si>
  <si>
    <t>Female</t>
  </si>
  <si>
    <t>D.V.M</t>
  </si>
  <si>
    <t>M.Sc</t>
  </si>
  <si>
    <t>M.Phil</t>
  </si>
  <si>
    <t>Ph.D</t>
  </si>
  <si>
    <t xml:space="preserve">January </t>
  </si>
  <si>
    <t>Nil</t>
  </si>
  <si>
    <r>
      <t xml:space="preserve"> Total RVMP Registered since 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January 2021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1618          Source:- Pakistan Veterinary Medical </t>
    </r>
  </si>
  <si>
    <r>
      <t xml:space="preserve"> Total RVMP Registered since 30</t>
    </r>
    <r>
      <rPr>
        <vertAlign val="superscript"/>
        <sz val="10"/>
        <color theme="1"/>
        <rFont val="Times New Roman"/>
        <family val="1"/>
      </rPr>
      <t>th</t>
    </r>
    <r>
      <rPr>
        <sz val="10"/>
        <color theme="1"/>
        <rFont val="Times New Roman"/>
        <family val="1"/>
      </rPr>
      <t xml:space="preserve"> May    2000 to 31st December 2021= 17257                  Council, Islamabad</t>
    </r>
  </si>
  <si>
    <t>Registered Animal Husbandry Graduate With PVMC- 2023</t>
  </si>
  <si>
    <t>B.Sc. (Hons)</t>
  </si>
  <si>
    <t>M.Sc.</t>
  </si>
  <si>
    <t>A.H</t>
  </si>
  <si>
    <t>NIL</t>
  </si>
  <si>
    <r>
      <t xml:space="preserve">     Total RAHG Registered since 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January 2021 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 01    Source:- Pakistan Veterinary Medical </t>
    </r>
  </si>
  <si>
    <r>
      <t xml:space="preserve"> Total RAHG Registered since 30</t>
    </r>
    <r>
      <rPr>
        <vertAlign val="superscript"/>
        <sz val="10"/>
        <color theme="1"/>
        <rFont val="Times New Roman"/>
        <family val="1"/>
      </rPr>
      <t>th</t>
    </r>
    <r>
      <rPr>
        <sz val="10"/>
        <color theme="1"/>
        <rFont val="Times New Roman"/>
        <family val="1"/>
      </rPr>
      <t xml:space="preserve"> May    2000 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515                            Council, Islamabad</t>
    </r>
  </si>
  <si>
    <t>Visitors at Archaeological Museums in Pakistan During January-December, 2023</t>
  </si>
  <si>
    <t xml:space="preserve"> August</t>
  </si>
  <si>
    <t>Museum,Moenjodaro, Distric Larkana.</t>
  </si>
  <si>
    <t>Quid-e-Azam Birth House, Karachi.</t>
  </si>
  <si>
    <t xml:space="preserve">                                                           Government of Pakistan &amp; Provincial Governments</t>
  </si>
  <si>
    <t xml:space="preserve">.                                                                                                           </t>
  </si>
  <si>
    <t>Visitors at Heritage Site in Pakistan During January-December, 2023</t>
  </si>
  <si>
    <t xml:space="preserve">  August</t>
  </si>
  <si>
    <t>Jahangir's Tomb, Lahore</t>
  </si>
  <si>
    <t>Shalamar Garden, Lahore</t>
  </si>
  <si>
    <t>Hiran Minar &amp; Tank, Sheikhupura</t>
  </si>
  <si>
    <t>Mughal garden Wah cantt</t>
  </si>
  <si>
    <t>Moenjodaro, Distric Larkana.</t>
  </si>
  <si>
    <t>Source:- Department of Archaeology and Museum,</t>
  </si>
  <si>
    <t xml:space="preserve">                 </t>
  </si>
  <si>
    <t xml:space="preserve">                       Government of Pakistan &amp; Provincial Government</t>
  </si>
  <si>
    <t>TUBERCULOSIS   REPORT (FTI)</t>
  </si>
  <si>
    <r>
      <t>Period: 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  Quarter, 2023</t>
    </r>
  </si>
  <si>
    <t>Provinces/Regions</t>
  </si>
  <si>
    <t>TB Cases B+ (N+R+UK)</t>
  </si>
  <si>
    <t>CNR</t>
  </si>
  <si>
    <t>TB All Types</t>
  </si>
  <si>
    <t>CDR Total All Form (N+R+UK)</t>
  </si>
  <si>
    <t>% Treatment Success Rate* (TSR)</t>
  </si>
  <si>
    <t>B+</t>
  </si>
  <si>
    <t>AJK</t>
  </si>
  <si>
    <t>Gilgit Baltistan</t>
  </si>
  <si>
    <t>ICT</t>
  </si>
  <si>
    <t>KP F.A.T.A</t>
  </si>
  <si>
    <r>
      <t>CDR</t>
    </r>
    <r>
      <rPr>
        <b/>
        <sz val="9"/>
        <color theme="1"/>
        <rFont val="Times New Roman"/>
        <family val="1"/>
      </rPr>
      <t xml:space="preserve"> : </t>
    </r>
    <r>
      <rPr>
        <sz val="9"/>
        <color theme="1"/>
        <rFont val="Times New Roman"/>
        <family val="1"/>
      </rPr>
      <t>Case Deduction Rate</t>
    </r>
    <r>
      <rPr>
        <b/>
        <sz val="9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                                                                                 </t>
    </r>
    <r>
      <rPr>
        <sz val="10"/>
        <color theme="1"/>
        <rFont val="Times New Roman"/>
        <family val="1"/>
      </rPr>
      <t xml:space="preserve">Source: National TB Control Programme </t>
    </r>
  </si>
  <si>
    <r>
      <t>B+     Bacteriologically positive</t>
    </r>
    <r>
      <rPr>
        <sz val="10"/>
        <color theme="1"/>
        <rFont val="Times New Roman"/>
        <family val="1"/>
      </rPr>
      <t xml:space="preserve">    </t>
    </r>
    <r>
      <rPr>
        <sz val="9"/>
        <color theme="1"/>
        <rFont val="Times New Roman"/>
        <family val="1"/>
      </rPr>
      <t>N+ (New case) NIH Islamabad</t>
    </r>
  </si>
  <si>
    <t xml:space="preserve">R:       Relapse Cases             *Available One Year Lag  </t>
  </si>
  <si>
    <t>Period: 2nd Quarter, 2023</t>
  </si>
  <si>
    <t>Period: 3rd Quarter, 2023</t>
  </si>
  <si>
    <t>Period: 4th Quarter, 2023</t>
  </si>
  <si>
    <t>NILL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</si>
</sst>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62">
    <xf numFmtId="0" fontId="0" fillId="0" borderId="0" xfId="0"/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0" fillId="0" borderId="5" xfId="0" applyFont="1" applyFill="1" applyBorder="1"/>
    <xf numFmtId="0" fontId="0" fillId="0" borderId="6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4" fillId="0" borderId="10" xfId="0" applyFont="1" applyFill="1" applyBorder="1" applyAlignment="1">
      <alignment horizontal="left" vertical="center"/>
    </xf>
    <xf numFmtId="0" fontId="0" fillId="0" borderId="11" xfId="0" applyFont="1" applyFill="1" applyBorder="1"/>
    <xf numFmtId="0" fontId="0" fillId="0" borderId="12" xfId="0" applyFont="1" applyFill="1" applyBorder="1"/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Font="1"/>
    <xf numFmtId="0" fontId="4" fillId="9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6" xfId="0" applyNumberFormat="1" applyFont="1" applyBorder="1" applyAlignment="1">
      <alignment horizontal="right" vertical="center" wrapText="1"/>
    </xf>
    <xf numFmtId="0" fontId="4" fillId="10" borderId="4" xfId="0" applyFont="1" applyFill="1" applyBorder="1" applyAlignment="1">
      <alignment vertical="center"/>
    </xf>
    <xf numFmtId="41" fontId="12" fillId="0" borderId="5" xfId="1" applyFont="1" applyBorder="1" applyAlignment="1">
      <alignment horizontal="right" vertical="center" wrapText="1"/>
    </xf>
    <xf numFmtId="0" fontId="4" fillId="10" borderId="10" xfId="0" applyFont="1" applyFill="1" applyBorder="1" applyAlignment="1">
      <alignment vertical="center"/>
    </xf>
    <xf numFmtId="3" fontId="12" fillId="0" borderId="11" xfId="0" applyNumberFormat="1" applyFont="1" applyBorder="1"/>
    <xf numFmtId="0" fontId="8" fillId="0" borderId="0" xfId="0" applyFont="1" applyAlignment="1">
      <alignment vertical="center"/>
    </xf>
    <xf numFmtId="0" fontId="1" fillId="0" borderId="0" xfId="0" applyFont="1"/>
    <xf numFmtId="0" fontId="16" fillId="0" borderId="0" xfId="0" applyFont="1" applyFill="1" applyBorder="1" applyAlignment="1">
      <alignment vertical="center"/>
    </xf>
    <xf numFmtId="0" fontId="17" fillId="12" borderId="6" xfId="0" applyFont="1" applyFill="1" applyBorder="1" applyAlignment="1">
      <alignment horizontal="center" vertical="center"/>
    </xf>
    <xf numFmtId="0" fontId="17" fillId="5" borderId="4" xfId="0" applyFont="1" applyFill="1" applyBorder="1"/>
    <xf numFmtId="0" fontId="18" fillId="5" borderId="5" xfId="0" applyFont="1" applyFill="1" applyBorder="1" applyAlignment="1">
      <alignment horizontal="right"/>
    </xf>
    <xf numFmtId="0" fontId="18" fillId="5" borderId="6" xfId="0" applyFont="1" applyFill="1" applyBorder="1" applyAlignment="1">
      <alignment horizontal="right"/>
    </xf>
    <xf numFmtId="0" fontId="17" fillId="13" borderId="4" xfId="0" applyFont="1" applyFill="1" applyBorder="1"/>
    <xf numFmtId="0" fontId="18" fillId="13" borderId="5" xfId="0" applyFont="1" applyFill="1" applyBorder="1" applyAlignment="1">
      <alignment horizontal="right"/>
    </xf>
    <xf numFmtId="0" fontId="18" fillId="13" borderId="6" xfId="0" applyFont="1" applyFill="1" applyBorder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19" fillId="0" borderId="4" xfId="0" applyFont="1" applyFill="1" applyBorder="1"/>
    <xf numFmtId="0" fontId="20" fillId="14" borderId="5" xfId="0" applyFont="1" applyFill="1" applyBorder="1" applyAlignment="1">
      <alignment horizontal="right"/>
    </xf>
    <xf numFmtId="0" fontId="19" fillId="0" borderId="4" xfId="0" applyFont="1" applyFill="1" applyBorder="1" applyAlignment="1">
      <alignment wrapText="1"/>
    </xf>
    <xf numFmtId="0" fontId="20" fillId="15" borderId="5" xfId="0" applyFont="1" applyFill="1" applyBorder="1" applyAlignment="1">
      <alignment horizontal="right"/>
    </xf>
    <xf numFmtId="0" fontId="20" fillId="15" borderId="6" xfId="0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20" fillId="0" borderId="5" xfId="0" applyFont="1" applyFill="1" applyBorder="1" applyAlignment="1"/>
    <xf numFmtId="0" fontId="19" fillId="14" borderId="4" xfId="0" applyFont="1" applyFill="1" applyBorder="1" applyAlignment="1">
      <alignment wrapText="1"/>
    </xf>
    <xf numFmtId="0" fontId="20" fillId="15" borderId="5" xfId="0" applyFont="1" applyFill="1" applyBorder="1" applyAlignment="1"/>
    <xf numFmtId="0" fontId="19" fillId="0" borderId="16" xfId="0" applyFont="1" applyBorder="1"/>
    <xf numFmtId="0" fontId="20" fillId="14" borderId="17" xfId="0" applyFont="1" applyFill="1" applyBorder="1" applyAlignment="1">
      <alignment horizontal="center"/>
    </xf>
    <xf numFmtId="0" fontId="19" fillId="0" borderId="18" xfId="0" applyFont="1" applyBorder="1"/>
    <xf numFmtId="0" fontId="0" fillId="0" borderId="0" xfId="0" applyBorder="1"/>
    <xf numFmtId="0" fontId="20" fillId="0" borderId="5" xfId="0" applyFont="1" applyFill="1" applyBorder="1" applyAlignment="1">
      <alignment horizontal="right" wrapText="1"/>
    </xf>
    <xf numFmtId="0" fontId="20" fillId="0" borderId="6" xfId="0" applyFont="1" applyFill="1" applyBorder="1" applyAlignment="1"/>
    <xf numFmtId="0" fontId="19" fillId="0" borderId="10" xfId="0" applyFont="1" applyFill="1" applyBorder="1" applyAlignment="1">
      <alignment wrapText="1"/>
    </xf>
    <xf numFmtId="0" fontId="20" fillId="0" borderId="11" xfId="0" applyFont="1" applyFill="1" applyBorder="1" applyAlignment="1">
      <alignment horizontal="right"/>
    </xf>
    <xf numFmtId="0" fontId="20" fillId="0" borderId="12" xfId="0" applyFont="1" applyFill="1" applyBorder="1" applyAlignment="1">
      <alignment horizontal="right"/>
    </xf>
    <xf numFmtId="0" fontId="19" fillId="0" borderId="0" xfId="0" applyFont="1" applyBorder="1"/>
    <xf numFmtId="0" fontId="18" fillId="0" borderId="0" xfId="0" applyFont="1" applyBorder="1" applyAlignment="1">
      <alignment horizontal="right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1" fillId="16" borderId="10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left" vertical="center" wrapText="1"/>
    </xf>
    <xf numFmtId="0" fontId="15" fillId="16" borderId="11" xfId="0" applyFont="1" applyFill="1" applyBorder="1" applyAlignment="1">
      <alignment horizontal="right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18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1" fillId="16" borderId="30" xfId="0" applyFont="1" applyFill="1" applyBorder="1" applyAlignment="1">
      <alignment horizontal="center" vertical="center" wrapText="1"/>
    </xf>
    <xf numFmtId="0" fontId="15" fillId="16" borderId="31" xfId="0" applyFont="1" applyFill="1" applyBorder="1" applyAlignment="1">
      <alignment horizontal="left" vertical="center" wrapText="1"/>
    </xf>
    <xf numFmtId="0" fontId="15" fillId="16" borderId="31" xfId="0" applyFont="1" applyFill="1" applyBorder="1" applyAlignment="1">
      <alignment horizontal="center" vertical="center" wrapText="1"/>
    </xf>
    <xf numFmtId="0" fontId="15" fillId="16" borderId="32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/>
    </xf>
    <xf numFmtId="0" fontId="20" fillId="15" borderId="6" xfId="0" applyFont="1" applyFill="1" applyBorder="1" applyAlignment="1"/>
    <xf numFmtId="0" fontId="19" fillId="0" borderId="10" xfId="0" applyFont="1" applyFill="1" applyBorder="1"/>
    <xf numFmtId="0" fontId="17" fillId="6" borderId="5" xfId="0" applyFont="1" applyFill="1" applyBorder="1" applyAlignment="1">
      <alignment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9" fillId="14" borderId="4" xfId="0" applyFont="1" applyFill="1" applyBorder="1" applyAlignment="1">
      <alignment horizontal="left" vertical="center" wrapText="1"/>
    </xf>
    <xf numFmtId="0" fontId="20" fillId="14" borderId="6" xfId="0" applyFont="1" applyFill="1" applyBorder="1" applyAlignment="1">
      <alignment horizontal="right"/>
    </xf>
    <xf numFmtId="0" fontId="19" fillId="14" borderId="4" xfId="0" applyFont="1" applyFill="1" applyBorder="1"/>
    <xf numFmtId="0" fontId="20" fillId="14" borderId="5" xfId="0" applyFont="1" applyFill="1" applyBorder="1" applyAlignment="1">
      <alignment horizontal="right" wrapText="1"/>
    </xf>
    <xf numFmtId="0" fontId="0" fillId="14" borderId="5" xfId="0" applyFill="1" applyBorder="1" applyAlignment="1">
      <alignment horizontal="right"/>
    </xf>
    <xf numFmtId="0" fontId="19" fillId="14" borderId="10" xfId="0" applyFont="1" applyFill="1" applyBorder="1"/>
    <xf numFmtId="0" fontId="0" fillId="14" borderId="0" xfId="0" applyFill="1"/>
    <xf numFmtId="0" fontId="19" fillId="14" borderId="0" xfId="0" applyFont="1" applyFill="1"/>
    <xf numFmtId="0" fontId="19" fillId="0" borderId="0" xfId="0" applyFont="1"/>
    <xf numFmtId="0" fontId="19" fillId="14" borderId="37" xfId="0" applyFont="1" applyFill="1" applyBorder="1" applyAlignment="1">
      <alignment wrapText="1"/>
    </xf>
    <xf numFmtId="0" fontId="20" fillId="0" borderId="28" xfId="0" applyFont="1" applyFill="1" applyBorder="1" applyAlignment="1">
      <alignment horizontal="right" wrapText="1"/>
    </xf>
    <xf numFmtId="0" fontId="20" fillId="0" borderId="29" xfId="0" applyFont="1" applyFill="1" applyBorder="1" applyAlignment="1">
      <alignment horizontal="right" wrapText="1"/>
    </xf>
    <xf numFmtId="0" fontId="19" fillId="14" borderId="27" xfId="0" applyFont="1" applyFill="1" applyBorder="1"/>
    <xf numFmtId="0" fontId="19" fillId="14" borderId="10" xfId="0" applyFont="1" applyFill="1" applyBorder="1" applyAlignment="1">
      <alignment wrapText="1"/>
    </xf>
    <xf numFmtId="0" fontId="20" fillId="14" borderId="11" xfId="0" applyFont="1" applyFill="1" applyBorder="1" applyAlignment="1">
      <alignment horizontal="right"/>
    </xf>
    <xf numFmtId="0" fontId="20" fillId="14" borderId="12" xfId="0" applyFont="1" applyFill="1" applyBorder="1" applyAlignment="1">
      <alignment horizontal="right"/>
    </xf>
    <xf numFmtId="0" fontId="19" fillId="0" borderId="0" xfId="0" applyFont="1" applyAlignment="1">
      <alignment horizontal="left" indent="8"/>
    </xf>
    <xf numFmtId="2" fontId="15" fillId="6" borderId="5" xfId="0" applyNumberFormat="1" applyFont="1" applyFill="1" applyBorder="1" applyAlignment="1">
      <alignment horizontal="center" vertical="center" wrapText="1"/>
    </xf>
    <xf numFmtId="2" fontId="2" fillId="19" borderId="4" xfId="0" applyNumberFormat="1" applyFont="1" applyFill="1" applyBorder="1" applyAlignment="1">
      <alignment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2" fontId="2" fillId="11" borderId="10" xfId="0" applyNumberFormat="1" applyFont="1" applyFill="1" applyBorder="1" applyAlignment="1">
      <alignment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26" fillId="0" borderId="0" xfId="0" applyNumberFormat="1" applyFont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9" fontId="11" fillId="0" borderId="5" xfId="2" applyFont="1" applyBorder="1" applyAlignment="1">
      <alignment horizontal="right" vertical="center" wrapText="1"/>
    </xf>
    <xf numFmtId="1" fontId="11" fillId="0" borderId="5" xfId="2" applyNumberFormat="1" applyFont="1" applyBorder="1" applyAlignment="1">
      <alignment horizontal="right" vertical="center" wrapText="1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0" xfId="0" applyNumberFormat="1" applyFont="1" applyBorder="1" applyAlignment="1">
      <alignment horizontal="right" vertical="center" wrapText="1"/>
    </xf>
    <xf numFmtId="1" fontId="13" fillId="0" borderId="0" xfId="0" applyNumberFormat="1" applyFont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8" fillId="17" borderId="22" xfId="0" applyFont="1" applyFill="1" applyBorder="1" applyAlignment="1">
      <alignment horizontal="center" vertical="center"/>
    </xf>
    <xf numFmtId="0" fontId="8" fillId="17" borderId="23" xfId="0" applyFont="1" applyFill="1" applyBorder="1" applyAlignment="1">
      <alignment horizontal="center" vertical="center"/>
    </xf>
    <xf numFmtId="0" fontId="8" fillId="17" borderId="24" xfId="0" applyFont="1" applyFill="1" applyBorder="1" applyAlignment="1">
      <alignment horizontal="center" vertical="center"/>
    </xf>
    <xf numFmtId="0" fontId="8" fillId="17" borderId="25" xfId="0" applyFont="1" applyFill="1" applyBorder="1" applyAlignment="1">
      <alignment horizontal="center" vertical="center"/>
    </xf>
    <xf numFmtId="0" fontId="8" fillId="17" borderId="0" xfId="0" applyFont="1" applyFill="1" applyBorder="1" applyAlignment="1">
      <alignment horizontal="center" vertical="center"/>
    </xf>
    <xf numFmtId="0" fontId="8" fillId="17" borderId="26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center"/>
    </xf>
    <xf numFmtId="0" fontId="16" fillId="11" borderId="23" xfId="0" applyFont="1" applyFill="1" applyBorder="1" applyAlignment="1">
      <alignment horizontal="center" vertical="center"/>
    </xf>
    <xf numFmtId="0" fontId="16" fillId="11" borderId="24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16" fillId="11" borderId="18" xfId="0" applyFont="1" applyFill="1" applyBorder="1" applyAlignment="1">
      <alignment horizontal="center" vertical="center"/>
    </xf>
    <xf numFmtId="0" fontId="17" fillId="12" borderId="34" xfId="0" applyFont="1" applyFill="1" applyBorder="1" applyAlignment="1">
      <alignment horizontal="center" vertical="center"/>
    </xf>
    <xf numFmtId="0" fontId="17" fillId="12" borderId="27" xfId="0" applyFont="1" applyFill="1" applyBorder="1" applyAlignment="1">
      <alignment horizontal="center" vertical="center"/>
    </xf>
    <xf numFmtId="0" fontId="17" fillId="12" borderId="35" xfId="0" applyFont="1" applyFill="1" applyBorder="1" applyAlignment="1">
      <alignment horizontal="center" vertical="center"/>
    </xf>
    <xf numFmtId="0" fontId="17" fillId="12" borderId="36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 wrapText="1"/>
    </xf>
    <xf numFmtId="0" fontId="16" fillId="11" borderId="23" xfId="0" applyFont="1" applyFill="1" applyBorder="1" applyAlignment="1">
      <alignment horizontal="center" vertical="center" wrapText="1"/>
    </xf>
    <xf numFmtId="0" fontId="16" fillId="11" borderId="24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1" borderId="17" xfId="0" applyFont="1" applyFill="1" applyBorder="1" applyAlignment="1">
      <alignment horizontal="center" vertical="center" wrapText="1"/>
    </xf>
    <xf numFmtId="0" fontId="16" fillId="11" borderId="18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17" fillId="6" borderId="36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2" fontId="22" fillId="3" borderId="34" xfId="0" applyNumberFormat="1" applyFont="1" applyFill="1" applyBorder="1" applyAlignment="1">
      <alignment horizontal="center" vertical="center"/>
    </xf>
    <xf numFmtId="2" fontId="22" fillId="3" borderId="38" xfId="0" applyNumberFormat="1" applyFont="1" applyFill="1" applyBorder="1" applyAlignment="1">
      <alignment horizontal="center" vertical="center"/>
    </xf>
    <xf numFmtId="2" fontId="22" fillId="3" borderId="39" xfId="0" applyNumberFormat="1" applyFont="1" applyFill="1" applyBorder="1" applyAlignment="1">
      <alignment horizontal="center" vertical="center"/>
    </xf>
    <xf numFmtId="2" fontId="8" fillId="5" borderId="19" xfId="0" applyNumberFormat="1" applyFont="1" applyFill="1" applyBorder="1" applyAlignment="1">
      <alignment horizontal="center" vertical="center"/>
    </xf>
    <xf numFmtId="2" fontId="8" fillId="5" borderId="20" xfId="0" applyNumberFormat="1" applyFont="1" applyFill="1" applyBorder="1" applyAlignment="1">
      <alignment horizontal="center" vertical="center"/>
    </xf>
    <xf numFmtId="2" fontId="8" fillId="5" borderId="21" xfId="0" applyNumberFormat="1" applyFont="1" applyFill="1" applyBorder="1" applyAlignment="1">
      <alignment horizontal="center" vertical="center"/>
    </xf>
    <xf numFmtId="2" fontId="8" fillId="5" borderId="4" xfId="0" applyNumberFormat="1" applyFont="1" applyFill="1" applyBorder="1" applyAlignment="1">
      <alignment horizontal="center" vertical="center"/>
    </xf>
    <xf numFmtId="2" fontId="8" fillId="5" borderId="5" xfId="0" applyNumberFormat="1" applyFont="1" applyFill="1" applyBorder="1" applyAlignment="1">
      <alignment horizontal="center" vertical="center"/>
    </xf>
    <xf numFmtId="2" fontId="8" fillId="5" borderId="6" xfId="0" applyNumberFormat="1" applyFont="1" applyFill="1" applyBorder="1" applyAlignment="1">
      <alignment horizontal="center" vertical="center"/>
    </xf>
    <xf numFmtId="2" fontId="15" fillId="6" borderId="4" xfId="0" applyNumberFormat="1" applyFont="1" applyFill="1" applyBorder="1" applyAlignment="1">
      <alignment horizontal="center" vertical="center" wrapText="1"/>
    </xf>
    <xf numFmtId="2" fontId="15" fillId="6" borderId="5" xfId="0" applyNumberFormat="1" applyFont="1" applyFill="1" applyBorder="1" applyAlignment="1">
      <alignment horizontal="center" vertical="center" wrapText="1"/>
    </xf>
    <xf numFmtId="2" fontId="15" fillId="6" borderId="6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Border="1" applyAlignment="1">
      <alignment horizontal="left" vertical="center"/>
    </xf>
    <xf numFmtId="2" fontId="26" fillId="0" borderId="0" xfId="0" applyNumberFormat="1" applyFont="1" applyAlignment="1">
      <alignment horizontal="left" vertical="center"/>
    </xf>
    <xf numFmtId="0" fontId="17" fillId="12" borderId="40" xfId="0" applyFont="1" applyFill="1" applyBorder="1" applyAlignment="1">
      <alignment horizontal="center" vertical="center"/>
    </xf>
    <xf numFmtId="0" fontId="17" fillId="12" borderId="41" xfId="0" applyFont="1" applyFill="1" applyBorder="1" applyAlignment="1">
      <alignment horizontal="center" vertical="center"/>
    </xf>
    <xf numFmtId="0" fontId="17" fillId="12" borderId="42" xfId="0" applyFont="1" applyFill="1" applyBorder="1" applyAlignment="1">
      <alignment horizontal="center" vertical="center"/>
    </xf>
    <xf numFmtId="0" fontId="17" fillId="12" borderId="41" xfId="0" applyFont="1" applyFill="1" applyBorder="1" applyAlignment="1">
      <alignment horizontal="center" vertical="center" wrapText="1"/>
    </xf>
    <xf numFmtId="0" fontId="17" fillId="12" borderId="33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opLeftCell="A67" workbookViewId="0">
      <selection activeCell="J77" sqref="J77"/>
    </sheetView>
  </sheetViews>
  <sheetFormatPr defaultRowHeight="15" x14ac:dyDescent="0.25"/>
  <cols>
    <col min="1" max="1" width="15.5703125" customWidth="1"/>
    <col min="2" max="2" width="14" customWidth="1"/>
    <col min="3" max="3" width="12.7109375" customWidth="1"/>
    <col min="4" max="4" width="13" customWidth="1"/>
    <col min="5" max="5" width="11.42578125" customWidth="1"/>
    <col min="6" max="6" width="12" customWidth="1"/>
    <col min="7" max="7" width="15.7109375" customWidth="1"/>
  </cols>
  <sheetData>
    <row r="1" spans="1:7" ht="22.5" customHeight="1" x14ac:dyDescent="0.25">
      <c r="A1" s="153" t="s">
        <v>0</v>
      </c>
      <c r="B1" s="154"/>
      <c r="C1" s="154"/>
      <c r="D1" s="154"/>
      <c r="E1" s="154"/>
      <c r="F1" s="154"/>
      <c r="G1" s="155"/>
    </row>
    <row r="2" spans="1:7" x14ac:dyDescent="0.25">
      <c r="A2" s="156" t="s">
        <v>1</v>
      </c>
      <c r="B2" s="157" t="s">
        <v>2</v>
      </c>
      <c r="C2" s="158" t="s">
        <v>3</v>
      </c>
      <c r="D2" s="158"/>
      <c r="E2" s="158" t="s">
        <v>4</v>
      </c>
      <c r="F2" s="158"/>
      <c r="G2" s="159" t="s">
        <v>5</v>
      </c>
    </row>
    <row r="3" spans="1:7" ht="31.5" customHeight="1" x14ac:dyDescent="0.25">
      <c r="A3" s="156"/>
      <c r="B3" s="157"/>
      <c r="C3" s="1" t="s">
        <v>6</v>
      </c>
      <c r="D3" s="1" t="s">
        <v>7</v>
      </c>
      <c r="E3" s="1" t="s">
        <v>8</v>
      </c>
      <c r="F3" s="1" t="s">
        <v>9</v>
      </c>
      <c r="G3" s="159"/>
    </row>
    <row r="4" spans="1:7" x14ac:dyDescent="0.25">
      <c r="A4" s="2">
        <v>2023</v>
      </c>
      <c r="B4" s="160" t="s">
        <v>10</v>
      </c>
      <c r="C4" s="161"/>
      <c r="D4" s="161"/>
      <c r="E4" s="161"/>
      <c r="F4" s="161"/>
      <c r="G4" s="162"/>
    </row>
    <row r="5" spans="1:7" x14ac:dyDescent="0.25">
      <c r="A5" s="3" t="s">
        <v>11</v>
      </c>
      <c r="B5" s="4">
        <f>SUM(C5+D5)</f>
        <v>19</v>
      </c>
      <c r="C5" s="4">
        <v>12</v>
      </c>
      <c r="D5" s="4">
        <v>7</v>
      </c>
      <c r="E5" s="4">
        <v>12</v>
      </c>
      <c r="F5" s="4">
        <v>8</v>
      </c>
      <c r="G5" s="5">
        <v>19</v>
      </c>
    </row>
    <row r="6" spans="1:7" x14ac:dyDescent="0.25">
      <c r="A6" s="3" t="s">
        <v>12</v>
      </c>
      <c r="B6" s="4">
        <f t="shared" ref="B6:B16" si="0">SUM(C6+D6)</f>
        <v>19</v>
      </c>
      <c r="C6" s="6">
        <v>7</v>
      </c>
      <c r="D6" s="6">
        <v>12</v>
      </c>
      <c r="E6" s="6">
        <v>8</v>
      </c>
      <c r="F6" s="6">
        <v>12</v>
      </c>
      <c r="G6" s="7">
        <v>19</v>
      </c>
    </row>
    <row r="7" spans="1:7" x14ac:dyDescent="0.25">
      <c r="A7" s="3" t="s">
        <v>13</v>
      </c>
      <c r="B7" s="4">
        <f t="shared" si="0"/>
        <v>15</v>
      </c>
      <c r="C7" s="4">
        <v>3</v>
      </c>
      <c r="D7" s="4">
        <v>12</v>
      </c>
      <c r="E7" s="4">
        <v>3</v>
      </c>
      <c r="F7" s="4">
        <v>8</v>
      </c>
      <c r="G7" s="5">
        <v>15</v>
      </c>
    </row>
    <row r="8" spans="1:7" x14ac:dyDescent="0.25">
      <c r="A8" s="2" t="s">
        <v>14</v>
      </c>
      <c r="B8" s="4">
        <f t="shared" si="0"/>
        <v>23</v>
      </c>
      <c r="C8" s="4">
        <v>12</v>
      </c>
      <c r="D8" s="4">
        <v>11</v>
      </c>
      <c r="E8" s="4">
        <v>12</v>
      </c>
      <c r="F8" s="4">
        <v>14</v>
      </c>
      <c r="G8" s="5">
        <v>23</v>
      </c>
    </row>
    <row r="9" spans="1:7" x14ac:dyDescent="0.25">
      <c r="A9" s="2" t="s">
        <v>15</v>
      </c>
      <c r="B9" s="4">
        <f t="shared" si="0"/>
        <v>18</v>
      </c>
      <c r="C9" s="4">
        <v>8</v>
      </c>
      <c r="D9" s="4">
        <v>10</v>
      </c>
      <c r="E9" s="4">
        <v>8</v>
      </c>
      <c r="F9" s="4">
        <v>6</v>
      </c>
      <c r="G9" s="5">
        <v>18</v>
      </c>
    </row>
    <row r="10" spans="1:7" x14ac:dyDescent="0.25">
      <c r="A10" s="2" t="s">
        <v>16</v>
      </c>
      <c r="B10" s="4">
        <f t="shared" si="0"/>
        <v>19</v>
      </c>
      <c r="C10" s="4">
        <v>11</v>
      </c>
      <c r="D10" s="4">
        <v>8</v>
      </c>
      <c r="E10" s="4">
        <v>11</v>
      </c>
      <c r="F10" s="4">
        <v>11</v>
      </c>
      <c r="G10" s="5">
        <v>19</v>
      </c>
    </row>
    <row r="11" spans="1:7" x14ac:dyDescent="0.25">
      <c r="A11" s="3" t="s">
        <v>17</v>
      </c>
      <c r="B11" s="4">
        <f t="shared" si="0"/>
        <v>19</v>
      </c>
      <c r="C11" s="8">
        <v>10</v>
      </c>
      <c r="D11" s="8">
        <v>9</v>
      </c>
      <c r="E11" s="8">
        <v>11</v>
      </c>
      <c r="F11" s="8">
        <v>6</v>
      </c>
      <c r="G11" s="9">
        <v>19</v>
      </c>
    </row>
    <row r="12" spans="1:7" x14ac:dyDescent="0.25">
      <c r="A12" s="3" t="s">
        <v>18</v>
      </c>
      <c r="B12" s="4">
        <f t="shared" si="0"/>
        <v>14</v>
      </c>
      <c r="C12" s="8">
        <v>8</v>
      </c>
      <c r="D12" s="8">
        <v>6</v>
      </c>
      <c r="E12" s="8">
        <v>8</v>
      </c>
      <c r="F12" s="8">
        <v>3</v>
      </c>
      <c r="G12" s="9">
        <v>14</v>
      </c>
    </row>
    <row r="13" spans="1:7" x14ac:dyDescent="0.25">
      <c r="A13" s="3" t="s">
        <v>19</v>
      </c>
      <c r="B13" s="4">
        <f t="shared" si="0"/>
        <v>20</v>
      </c>
      <c r="C13" s="8">
        <v>8</v>
      </c>
      <c r="D13" s="8">
        <v>12</v>
      </c>
      <c r="E13" s="8">
        <v>8</v>
      </c>
      <c r="F13" s="8">
        <v>5</v>
      </c>
      <c r="G13" s="9">
        <v>20</v>
      </c>
    </row>
    <row r="14" spans="1:7" x14ac:dyDescent="0.25">
      <c r="A14" s="3" t="s">
        <v>20</v>
      </c>
      <c r="B14" s="4">
        <f t="shared" si="0"/>
        <v>11</v>
      </c>
      <c r="C14" s="8">
        <v>6</v>
      </c>
      <c r="D14" s="8">
        <v>5</v>
      </c>
      <c r="E14" s="8">
        <v>6</v>
      </c>
      <c r="F14" s="8">
        <v>4</v>
      </c>
      <c r="G14" s="9">
        <v>11</v>
      </c>
    </row>
    <row r="15" spans="1:7" x14ac:dyDescent="0.25">
      <c r="A15" s="3" t="s">
        <v>21</v>
      </c>
      <c r="B15" s="4">
        <f t="shared" si="0"/>
        <v>24</v>
      </c>
      <c r="C15" s="8">
        <v>14</v>
      </c>
      <c r="D15" s="8">
        <v>10</v>
      </c>
      <c r="E15" s="8">
        <v>14</v>
      </c>
      <c r="F15" s="8">
        <f>23+15</f>
        <v>38</v>
      </c>
      <c r="G15" s="9">
        <v>24</v>
      </c>
    </row>
    <row r="16" spans="1:7" x14ac:dyDescent="0.25">
      <c r="A16" s="3" t="s">
        <v>22</v>
      </c>
      <c r="B16" s="4">
        <f t="shared" si="0"/>
        <v>25</v>
      </c>
      <c r="C16" s="8">
        <v>10</v>
      </c>
      <c r="D16" s="8">
        <v>15</v>
      </c>
      <c r="E16" s="8">
        <v>11</v>
      </c>
      <c r="F16" s="8">
        <v>11</v>
      </c>
      <c r="G16" s="9">
        <v>25</v>
      </c>
    </row>
    <row r="17" spans="1:7" x14ac:dyDescent="0.25">
      <c r="A17" s="2" t="s">
        <v>23</v>
      </c>
      <c r="B17" s="4">
        <f t="shared" ref="B17:B59" si="1">SUM(C17+D17)</f>
        <v>226</v>
      </c>
      <c r="C17" s="4">
        <f t="shared" ref="C17:G17" si="2">SUM(C5:C16)</f>
        <v>109</v>
      </c>
      <c r="D17" s="4">
        <f t="shared" si="2"/>
        <v>117</v>
      </c>
      <c r="E17" s="4">
        <f t="shared" si="2"/>
        <v>112</v>
      </c>
      <c r="F17" s="4">
        <f t="shared" si="2"/>
        <v>126</v>
      </c>
      <c r="G17" s="5">
        <f t="shared" si="2"/>
        <v>226</v>
      </c>
    </row>
    <row r="18" spans="1:7" x14ac:dyDescent="0.25">
      <c r="A18" s="2">
        <v>2023</v>
      </c>
      <c r="B18" s="160" t="s">
        <v>24</v>
      </c>
      <c r="C18" s="161"/>
      <c r="D18" s="161"/>
      <c r="E18" s="161"/>
      <c r="F18" s="161"/>
      <c r="G18" s="162"/>
    </row>
    <row r="19" spans="1:7" x14ac:dyDescent="0.25">
      <c r="A19" s="3" t="s">
        <v>11</v>
      </c>
      <c r="B19" s="4">
        <f t="shared" ref="B19:B30" si="3">SUM(C19+D19)</f>
        <v>366</v>
      </c>
      <c r="C19" s="8">
        <v>219</v>
      </c>
      <c r="D19" s="8">
        <v>147</v>
      </c>
      <c r="E19" s="8">
        <v>282</v>
      </c>
      <c r="F19" s="8">
        <v>413</v>
      </c>
      <c r="G19" s="9">
        <v>395</v>
      </c>
    </row>
    <row r="20" spans="1:7" x14ac:dyDescent="0.25">
      <c r="A20" s="3" t="s">
        <v>12</v>
      </c>
      <c r="B20" s="4">
        <f t="shared" si="3"/>
        <v>412</v>
      </c>
      <c r="C20" s="8">
        <v>214</v>
      </c>
      <c r="D20" s="8">
        <v>198</v>
      </c>
      <c r="E20" s="8">
        <v>269</v>
      </c>
      <c r="F20" s="8">
        <v>521</v>
      </c>
      <c r="G20" s="9">
        <v>490</v>
      </c>
    </row>
    <row r="21" spans="1:7" x14ac:dyDescent="0.25">
      <c r="A21" s="3" t="s">
        <v>13</v>
      </c>
      <c r="B21" s="4">
        <f t="shared" si="3"/>
        <v>418</v>
      </c>
      <c r="C21" s="8">
        <v>279</v>
      </c>
      <c r="D21" s="8">
        <v>139</v>
      </c>
      <c r="E21" s="8">
        <v>332</v>
      </c>
      <c r="F21" s="8">
        <v>552</v>
      </c>
      <c r="G21" s="9">
        <v>468</v>
      </c>
    </row>
    <row r="22" spans="1:7" x14ac:dyDescent="0.25">
      <c r="A22" s="2" t="s">
        <v>14</v>
      </c>
      <c r="B22" s="4">
        <f t="shared" si="3"/>
        <v>398</v>
      </c>
      <c r="C22" s="8">
        <v>266</v>
      </c>
      <c r="D22" s="8">
        <v>132</v>
      </c>
      <c r="E22" s="8">
        <v>356</v>
      </c>
      <c r="F22" s="8">
        <v>621</v>
      </c>
      <c r="G22" s="9">
        <v>484</v>
      </c>
    </row>
    <row r="23" spans="1:7" x14ac:dyDescent="0.25">
      <c r="A23" s="2" t="s">
        <v>15</v>
      </c>
      <c r="B23" s="4">
        <f t="shared" si="3"/>
        <v>304</v>
      </c>
      <c r="C23" s="8">
        <v>214</v>
      </c>
      <c r="D23" s="8">
        <v>90</v>
      </c>
      <c r="E23" s="8">
        <v>235</v>
      </c>
      <c r="F23" s="8">
        <v>367</v>
      </c>
      <c r="G23" s="9">
        <v>355</v>
      </c>
    </row>
    <row r="24" spans="1:7" x14ac:dyDescent="0.25">
      <c r="A24" s="2" t="s">
        <v>16</v>
      </c>
      <c r="B24" s="4">
        <f t="shared" si="3"/>
        <v>424</v>
      </c>
      <c r="C24" s="8">
        <v>318</v>
      </c>
      <c r="D24" s="8">
        <v>106</v>
      </c>
      <c r="E24" s="8">
        <v>387</v>
      </c>
      <c r="F24" s="8">
        <v>542</v>
      </c>
      <c r="G24" s="9">
        <v>478</v>
      </c>
    </row>
    <row r="25" spans="1:7" x14ac:dyDescent="0.25">
      <c r="A25" s="3" t="s">
        <v>17</v>
      </c>
      <c r="B25" s="4">
        <f t="shared" si="3"/>
        <v>452</v>
      </c>
      <c r="C25" s="4">
        <v>313</v>
      </c>
      <c r="D25" s="4">
        <v>139</v>
      </c>
      <c r="E25" s="4">
        <v>347</v>
      </c>
      <c r="F25" s="4">
        <v>525</v>
      </c>
      <c r="G25" s="5">
        <v>484</v>
      </c>
    </row>
    <row r="26" spans="1:7" x14ac:dyDescent="0.25">
      <c r="A26" s="3" t="s">
        <v>18</v>
      </c>
      <c r="B26" s="4">
        <f t="shared" si="3"/>
        <v>378</v>
      </c>
      <c r="C26" s="6">
        <v>288</v>
      </c>
      <c r="D26" s="6">
        <v>90</v>
      </c>
      <c r="E26" s="6">
        <v>382</v>
      </c>
      <c r="F26" s="6">
        <v>481</v>
      </c>
      <c r="G26" s="7">
        <v>386</v>
      </c>
    </row>
    <row r="27" spans="1:7" x14ac:dyDescent="0.25">
      <c r="A27" s="3" t="s">
        <v>19</v>
      </c>
      <c r="B27" s="4">
        <f t="shared" si="3"/>
        <v>382</v>
      </c>
      <c r="C27" s="6">
        <v>274</v>
      </c>
      <c r="D27" s="6">
        <v>108</v>
      </c>
      <c r="E27" s="6">
        <v>305</v>
      </c>
      <c r="F27" s="6">
        <v>426</v>
      </c>
      <c r="G27" s="7">
        <v>411</v>
      </c>
    </row>
    <row r="28" spans="1:7" x14ac:dyDescent="0.25">
      <c r="A28" s="3" t="s">
        <v>20</v>
      </c>
      <c r="B28" s="4">
        <f t="shared" si="3"/>
        <v>396</v>
      </c>
      <c r="C28" s="6">
        <v>320</v>
      </c>
      <c r="D28" s="6">
        <v>76</v>
      </c>
      <c r="E28" s="6">
        <v>394</v>
      </c>
      <c r="F28" s="6">
        <v>450</v>
      </c>
      <c r="G28" s="7">
        <v>436</v>
      </c>
    </row>
    <row r="29" spans="1:7" x14ac:dyDescent="0.25">
      <c r="A29" s="3" t="s">
        <v>21</v>
      </c>
      <c r="B29" s="4">
        <f t="shared" si="3"/>
        <v>487</v>
      </c>
      <c r="C29" s="6">
        <v>352</v>
      </c>
      <c r="D29" s="6">
        <v>135</v>
      </c>
      <c r="E29" s="6">
        <v>412</v>
      </c>
      <c r="F29" s="6">
        <v>626</v>
      </c>
      <c r="G29" s="7">
        <v>825</v>
      </c>
    </row>
    <row r="30" spans="1:7" x14ac:dyDescent="0.25">
      <c r="A30" s="3" t="s">
        <v>22</v>
      </c>
      <c r="B30" s="4">
        <f t="shared" si="3"/>
        <v>508</v>
      </c>
      <c r="C30" s="6">
        <v>383</v>
      </c>
      <c r="D30" s="6">
        <v>125</v>
      </c>
      <c r="E30" s="6">
        <v>425</v>
      </c>
      <c r="F30" s="6">
        <v>670</v>
      </c>
      <c r="G30" s="7">
        <v>873</v>
      </c>
    </row>
    <row r="31" spans="1:7" x14ac:dyDescent="0.25">
      <c r="A31" s="2" t="s">
        <v>23</v>
      </c>
      <c r="B31" s="4">
        <f t="shared" si="1"/>
        <v>4925</v>
      </c>
      <c r="C31" s="4">
        <f t="shared" ref="C31:G31" si="4">SUM(C19:C30)</f>
        <v>3440</v>
      </c>
      <c r="D31" s="4">
        <f t="shared" si="4"/>
        <v>1485</v>
      </c>
      <c r="E31" s="4">
        <f t="shared" si="4"/>
        <v>4126</v>
      </c>
      <c r="F31" s="4">
        <f t="shared" si="4"/>
        <v>6194</v>
      </c>
      <c r="G31" s="5">
        <f t="shared" si="4"/>
        <v>6085</v>
      </c>
    </row>
    <row r="32" spans="1:7" x14ac:dyDescent="0.25">
      <c r="A32" s="2">
        <v>2023</v>
      </c>
      <c r="B32" s="160" t="s">
        <v>25</v>
      </c>
      <c r="C32" s="161"/>
      <c r="D32" s="161"/>
      <c r="E32" s="161"/>
      <c r="F32" s="161"/>
      <c r="G32" s="162"/>
    </row>
    <row r="33" spans="1:7" x14ac:dyDescent="0.25">
      <c r="A33" s="3" t="s">
        <v>11</v>
      </c>
      <c r="B33" s="4">
        <f t="shared" ref="B33:B44" si="5">SUM(C33+D33)</f>
        <v>43</v>
      </c>
      <c r="C33" s="4">
        <v>31</v>
      </c>
      <c r="D33" s="4">
        <v>12</v>
      </c>
      <c r="E33" s="4">
        <v>40</v>
      </c>
      <c r="F33" s="4">
        <f>25+8</f>
        <v>33</v>
      </c>
      <c r="G33" s="5">
        <v>52</v>
      </c>
    </row>
    <row r="34" spans="1:7" x14ac:dyDescent="0.25">
      <c r="A34" s="3" t="s">
        <v>12</v>
      </c>
      <c r="B34" s="4">
        <f t="shared" si="5"/>
        <v>53</v>
      </c>
      <c r="C34" s="6">
        <v>34</v>
      </c>
      <c r="D34" s="6">
        <v>19</v>
      </c>
      <c r="E34" s="6">
        <v>37</v>
      </c>
      <c r="F34" s="6">
        <f>52+6</f>
        <v>58</v>
      </c>
      <c r="G34" s="7">
        <v>65</v>
      </c>
    </row>
    <row r="35" spans="1:7" x14ac:dyDescent="0.25">
      <c r="A35" s="3" t="s">
        <v>13</v>
      </c>
      <c r="B35" s="4">
        <f t="shared" si="5"/>
        <v>55</v>
      </c>
      <c r="C35" s="6">
        <v>40</v>
      </c>
      <c r="D35" s="6">
        <v>15</v>
      </c>
      <c r="E35" s="6">
        <v>50</v>
      </c>
      <c r="F35" s="6">
        <f>22+9</f>
        <v>31</v>
      </c>
      <c r="G35" s="7">
        <v>64</v>
      </c>
    </row>
    <row r="36" spans="1:7" x14ac:dyDescent="0.25">
      <c r="A36" s="2" t="s">
        <v>14</v>
      </c>
      <c r="B36" s="4">
        <f t="shared" si="5"/>
        <v>68</v>
      </c>
      <c r="C36" s="6">
        <v>41</v>
      </c>
      <c r="D36" s="6">
        <v>27</v>
      </c>
      <c r="E36" s="6">
        <v>55</v>
      </c>
      <c r="F36" s="6">
        <f>78+6</f>
        <v>84</v>
      </c>
      <c r="G36" s="7">
        <v>80</v>
      </c>
    </row>
    <row r="37" spans="1:7" x14ac:dyDescent="0.25">
      <c r="A37" s="2" t="s">
        <v>15</v>
      </c>
      <c r="B37" s="4">
        <f t="shared" si="5"/>
        <v>61</v>
      </c>
      <c r="C37" s="6">
        <v>39</v>
      </c>
      <c r="D37" s="6">
        <v>22</v>
      </c>
      <c r="E37" s="6">
        <v>39</v>
      </c>
      <c r="F37" s="6">
        <v>26</v>
      </c>
      <c r="G37" s="7">
        <v>67</v>
      </c>
    </row>
    <row r="38" spans="1:7" x14ac:dyDescent="0.25">
      <c r="A38" s="2" t="s">
        <v>16</v>
      </c>
      <c r="B38" s="4">
        <f t="shared" si="5"/>
        <v>76</v>
      </c>
      <c r="C38" s="6">
        <v>52</v>
      </c>
      <c r="D38" s="6">
        <v>24</v>
      </c>
      <c r="E38" s="6">
        <v>56</v>
      </c>
      <c r="F38" s="6">
        <f>65+12</f>
        <v>77</v>
      </c>
      <c r="G38" s="7">
        <v>83</v>
      </c>
    </row>
    <row r="39" spans="1:7" x14ac:dyDescent="0.25">
      <c r="A39" s="3" t="s">
        <v>17</v>
      </c>
      <c r="B39" s="4">
        <f t="shared" si="5"/>
        <v>38</v>
      </c>
      <c r="C39" s="6">
        <v>25</v>
      </c>
      <c r="D39" s="6">
        <v>13</v>
      </c>
      <c r="E39" s="6">
        <v>26</v>
      </c>
      <c r="F39" s="6">
        <f>19+5</f>
        <v>24</v>
      </c>
      <c r="G39" s="7">
        <v>48</v>
      </c>
    </row>
    <row r="40" spans="1:7" x14ac:dyDescent="0.25">
      <c r="A40" s="3" t="s">
        <v>18</v>
      </c>
      <c r="B40" s="4">
        <f t="shared" si="5"/>
        <v>66</v>
      </c>
      <c r="C40" s="4">
        <v>43</v>
      </c>
      <c r="D40" s="4">
        <v>23</v>
      </c>
      <c r="E40" s="4">
        <f>42+9</f>
        <v>51</v>
      </c>
      <c r="F40" s="4">
        <f>45+14</f>
        <v>59</v>
      </c>
      <c r="G40" s="5">
        <v>76</v>
      </c>
    </row>
    <row r="41" spans="1:7" x14ac:dyDescent="0.25">
      <c r="A41" s="3" t="s">
        <v>19</v>
      </c>
      <c r="B41" s="4">
        <f t="shared" si="5"/>
        <v>60</v>
      </c>
      <c r="C41" s="4">
        <v>29</v>
      </c>
      <c r="D41" s="4">
        <v>31</v>
      </c>
      <c r="E41" s="4">
        <v>40</v>
      </c>
      <c r="F41" s="4">
        <f>53+12</f>
        <v>65</v>
      </c>
      <c r="G41" s="5">
        <v>68</v>
      </c>
    </row>
    <row r="42" spans="1:7" x14ac:dyDescent="0.25">
      <c r="A42" s="3" t="s">
        <v>20</v>
      </c>
      <c r="B42" s="4">
        <f t="shared" si="5"/>
        <v>54</v>
      </c>
      <c r="C42" s="4">
        <v>32</v>
      </c>
      <c r="D42" s="4">
        <v>22</v>
      </c>
      <c r="E42" s="4">
        <v>36</v>
      </c>
      <c r="F42" s="4">
        <v>45</v>
      </c>
      <c r="G42" s="5">
        <v>61</v>
      </c>
    </row>
    <row r="43" spans="1:7" x14ac:dyDescent="0.25">
      <c r="A43" s="3" t="s">
        <v>21</v>
      </c>
      <c r="B43" s="4">
        <f t="shared" si="5"/>
        <v>74</v>
      </c>
      <c r="C43" s="4">
        <v>44</v>
      </c>
      <c r="D43" s="4">
        <v>30</v>
      </c>
      <c r="E43" s="4">
        <f>43+6</f>
        <v>49</v>
      </c>
      <c r="F43" s="4">
        <f>62+15</f>
        <v>77</v>
      </c>
      <c r="G43" s="5">
        <v>83</v>
      </c>
    </row>
    <row r="44" spans="1:7" x14ac:dyDescent="0.25">
      <c r="A44" s="3" t="s">
        <v>22</v>
      </c>
      <c r="B44" s="4">
        <f t="shared" si="5"/>
        <v>61</v>
      </c>
      <c r="C44" s="4">
        <v>44</v>
      </c>
      <c r="D44" s="4">
        <v>17</v>
      </c>
      <c r="E44" s="4">
        <v>33</v>
      </c>
      <c r="F44" s="4">
        <v>26</v>
      </c>
      <c r="G44" s="5">
        <v>69</v>
      </c>
    </row>
    <row r="45" spans="1:7" x14ac:dyDescent="0.25">
      <c r="A45" s="2" t="s">
        <v>23</v>
      </c>
      <c r="B45" s="4">
        <f t="shared" si="1"/>
        <v>709</v>
      </c>
      <c r="C45" s="4">
        <f t="shared" ref="C45:G45" si="6">SUM(C33:C44)</f>
        <v>454</v>
      </c>
      <c r="D45" s="4">
        <f t="shared" si="6"/>
        <v>255</v>
      </c>
      <c r="E45" s="4">
        <f t="shared" si="6"/>
        <v>512</v>
      </c>
      <c r="F45" s="4">
        <f t="shared" si="6"/>
        <v>605</v>
      </c>
      <c r="G45" s="5">
        <f t="shared" si="6"/>
        <v>816</v>
      </c>
    </row>
    <row r="46" spans="1:7" x14ac:dyDescent="0.25">
      <c r="A46" s="2">
        <v>2023</v>
      </c>
      <c r="B46" s="163" t="s">
        <v>26</v>
      </c>
      <c r="C46" s="164"/>
      <c r="D46" s="164"/>
      <c r="E46" s="164"/>
      <c r="F46" s="164"/>
      <c r="G46" s="165"/>
    </row>
    <row r="47" spans="1:7" x14ac:dyDescent="0.25">
      <c r="A47" s="3" t="s">
        <v>11</v>
      </c>
      <c r="B47" s="4">
        <f t="shared" ref="B47:B58" si="7">SUM(C47+D47)</f>
        <v>217</v>
      </c>
      <c r="C47" s="10">
        <v>53</v>
      </c>
      <c r="D47" s="10">
        <v>164</v>
      </c>
      <c r="E47" s="10">
        <v>62</v>
      </c>
      <c r="F47" s="10">
        <v>286</v>
      </c>
      <c r="G47" s="11">
        <v>287</v>
      </c>
    </row>
    <row r="48" spans="1:7" x14ac:dyDescent="0.25">
      <c r="A48" s="3" t="s">
        <v>12</v>
      </c>
      <c r="B48" s="4">
        <f t="shared" si="7"/>
        <v>251</v>
      </c>
      <c r="C48" s="10">
        <v>77</v>
      </c>
      <c r="D48" s="10">
        <v>174</v>
      </c>
      <c r="E48" s="10">
        <v>119</v>
      </c>
      <c r="F48" s="10">
        <v>326</v>
      </c>
      <c r="G48" s="11">
        <v>341</v>
      </c>
    </row>
    <row r="49" spans="1:7" x14ac:dyDescent="0.25">
      <c r="A49" s="3" t="s">
        <v>13</v>
      </c>
      <c r="B49" s="4">
        <f t="shared" si="7"/>
        <v>216</v>
      </c>
      <c r="C49" s="10">
        <v>55</v>
      </c>
      <c r="D49" s="10">
        <v>161</v>
      </c>
      <c r="E49" s="10">
        <v>57</v>
      </c>
      <c r="F49" s="10">
        <v>269</v>
      </c>
      <c r="G49" s="11">
        <v>308</v>
      </c>
    </row>
    <row r="50" spans="1:7" x14ac:dyDescent="0.25">
      <c r="A50" s="2" t="s">
        <v>14</v>
      </c>
      <c r="B50" s="4">
        <f t="shared" si="7"/>
        <v>303</v>
      </c>
      <c r="C50" s="10">
        <v>69</v>
      </c>
      <c r="D50" s="10">
        <v>234</v>
      </c>
      <c r="E50" s="10">
        <v>83</v>
      </c>
      <c r="F50" s="10">
        <v>384</v>
      </c>
      <c r="G50" s="11">
        <v>432</v>
      </c>
    </row>
    <row r="51" spans="1:7" x14ac:dyDescent="0.25">
      <c r="A51" s="2" t="s">
        <v>15</v>
      </c>
      <c r="B51" s="4">
        <f t="shared" si="7"/>
        <v>287</v>
      </c>
      <c r="C51" s="10">
        <v>82</v>
      </c>
      <c r="D51" s="10">
        <v>205</v>
      </c>
      <c r="E51" s="10">
        <f>83+13</f>
        <v>96</v>
      </c>
      <c r="F51" s="10">
        <v>370</v>
      </c>
      <c r="G51" s="11">
        <v>411</v>
      </c>
    </row>
    <row r="52" spans="1:7" x14ac:dyDescent="0.25">
      <c r="A52" s="2" t="s">
        <v>16</v>
      </c>
      <c r="B52" s="4">
        <f t="shared" si="7"/>
        <v>279</v>
      </c>
      <c r="C52" s="10">
        <v>77</v>
      </c>
      <c r="D52" s="10">
        <v>202</v>
      </c>
      <c r="E52" s="10">
        <v>86</v>
      </c>
      <c r="F52" s="10">
        <v>364</v>
      </c>
      <c r="G52" s="11">
        <v>413</v>
      </c>
    </row>
    <row r="53" spans="1:7" x14ac:dyDescent="0.25">
      <c r="A53" s="3" t="s">
        <v>17</v>
      </c>
      <c r="B53" s="4">
        <f t="shared" si="7"/>
        <v>291</v>
      </c>
      <c r="C53" s="12">
        <v>72</v>
      </c>
      <c r="D53" s="12">
        <v>219</v>
      </c>
      <c r="E53" s="12">
        <v>87</v>
      </c>
      <c r="F53" s="12">
        <v>421</v>
      </c>
      <c r="G53" s="13">
        <v>379</v>
      </c>
    </row>
    <row r="54" spans="1:7" x14ac:dyDescent="0.25">
      <c r="A54" s="3" t="s">
        <v>18</v>
      </c>
      <c r="B54" s="4">
        <f t="shared" si="7"/>
        <v>318</v>
      </c>
      <c r="C54" s="12">
        <v>79</v>
      </c>
      <c r="D54" s="12">
        <v>239</v>
      </c>
      <c r="E54" s="12">
        <v>94</v>
      </c>
      <c r="F54" s="12">
        <v>398</v>
      </c>
      <c r="G54" s="13">
        <v>427</v>
      </c>
    </row>
    <row r="55" spans="1:7" x14ac:dyDescent="0.25">
      <c r="A55" s="3" t="s">
        <v>19</v>
      </c>
      <c r="B55" s="4">
        <f t="shared" si="7"/>
        <v>264</v>
      </c>
      <c r="C55" s="12">
        <v>57</v>
      </c>
      <c r="D55" s="12">
        <v>207</v>
      </c>
      <c r="E55" s="12">
        <v>80</v>
      </c>
      <c r="F55" s="12">
        <v>412</v>
      </c>
      <c r="G55" s="13">
        <v>349</v>
      </c>
    </row>
    <row r="56" spans="1:7" x14ac:dyDescent="0.25">
      <c r="A56" s="3" t="s">
        <v>20</v>
      </c>
      <c r="B56" s="4">
        <f t="shared" si="7"/>
        <v>309</v>
      </c>
      <c r="C56" s="12">
        <v>86</v>
      </c>
      <c r="D56" s="12">
        <v>223</v>
      </c>
      <c r="E56" s="12">
        <v>93</v>
      </c>
      <c r="F56" s="12">
        <v>415</v>
      </c>
      <c r="G56" s="13">
        <v>429</v>
      </c>
    </row>
    <row r="57" spans="1:7" x14ac:dyDescent="0.25">
      <c r="A57" s="3" t="s">
        <v>21</v>
      </c>
      <c r="B57" s="4">
        <f t="shared" si="7"/>
        <v>288</v>
      </c>
      <c r="C57" s="12">
        <v>80</v>
      </c>
      <c r="D57" s="12">
        <v>208</v>
      </c>
      <c r="E57" s="12">
        <v>102</v>
      </c>
      <c r="F57" s="12">
        <v>367</v>
      </c>
      <c r="G57" s="13">
        <v>389</v>
      </c>
    </row>
    <row r="58" spans="1:7" x14ac:dyDescent="0.25">
      <c r="A58" s="3" t="s">
        <v>22</v>
      </c>
      <c r="B58" s="4">
        <f t="shared" si="7"/>
        <v>255</v>
      </c>
      <c r="C58" s="12">
        <v>73</v>
      </c>
      <c r="D58" s="12">
        <v>182</v>
      </c>
      <c r="E58" s="12">
        <v>85</v>
      </c>
      <c r="F58" s="12">
        <v>280</v>
      </c>
      <c r="G58" s="13">
        <v>346</v>
      </c>
    </row>
    <row r="59" spans="1:7" x14ac:dyDescent="0.25">
      <c r="A59" s="2" t="s">
        <v>23</v>
      </c>
      <c r="B59" s="4">
        <f t="shared" si="1"/>
        <v>3278</v>
      </c>
      <c r="C59" s="4">
        <f t="shared" ref="C59:G59" si="8">SUM(C47:C58)</f>
        <v>860</v>
      </c>
      <c r="D59" s="4">
        <f t="shared" si="8"/>
        <v>2418</v>
      </c>
      <c r="E59" s="4">
        <f t="shared" si="8"/>
        <v>1044</v>
      </c>
      <c r="F59" s="4">
        <f t="shared" si="8"/>
        <v>4292</v>
      </c>
      <c r="G59" s="5">
        <f t="shared" si="8"/>
        <v>4511</v>
      </c>
    </row>
    <row r="60" spans="1:7" x14ac:dyDescent="0.25">
      <c r="A60" s="2">
        <v>2023</v>
      </c>
      <c r="B60" s="150" t="s">
        <v>27</v>
      </c>
      <c r="C60" s="151"/>
      <c r="D60" s="151"/>
      <c r="E60" s="151"/>
      <c r="F60" s="151"/>
      <c r="G60" s="152"/>
    </row>
    <row r="61" spans="1:7" x14ac:dyDescent="0.25">
      <c r="A61" s="3" t="s">
        <v>11</v>
      </c>
      <c r="B61" s="4">
        <f t="shared" ref="B61:B72" si="9">SUM(C61+D61)</f>
        <v>16</v>
      </c>
      <c r="C61" s="14">
        <v>12</v>
      </c>
      <c r="D61" s="14">
        <v>4</v>
      </c>
      <c r="E61" s="14">
        <v>12</v>
      </c>
      <c r="F61" s="14">
        <v>15</v>
      </c>
      <c r="G61" s="15">
        <v>24</v>
      </c>
    </row>
    <row r="62" spans="1:7" x14ac:dyDescent="0.25">
      <c r="A62" s="3" t="s">
        <v>12</v>
      </c>
      <c r="B62" s="4">
        <f t="shared" si="9"/>
        <v>26</v>
      </c>
      <c r="C62" s="14">
        <v>13</v>
      </c>
      <c r="D62" s="14">
        <v>13</v>
      </c>
      <c r="E62" s="14">
        <v>17</v>
      </c>
      <c r="F62" s="14">
        <v>25</v>
      </c>
      <c r="G62" s="15">
        <v>40</v>
      </c>
    </row>
    <row r="63" spans="1:7" x14ac:dyDescent="0.25">
      <c r="A63" s="3" t="s">
        <v>13</v>
      </c>
      <c r="B63" s="4">
        <f t="shared" si="9"/>
        <v>33</v>
      </c>
      <c r="C63" s="10">
        <v>15</v>
      </c>
      <c r="D63" s="10">
        <v>18</v>
      </c>
      <c r="E63" s="10">
        <v>21</v>
      </c>
      <c r="F63" s="10">
        <f>44+7</f>
        <v>51</v>
      </c>
      <c r="G63" s="11">
        <v>45</v>
      </c>
    </row>
    <row r="64" spans="1:7" x14ac:dyDescent="0.25">
      <c r="A64" s="2" t="s">
        <v>14</v>
      </c>
      <c r="B64" s="4">
        <f t="shared" si="9"/>
        <v>38</v>
      </c>
      <c r="C64" s="10">
        <v>16</v>
      </c>
      <c r="D64" s="10">
        <v>22</v>
      </c>
      <c r="E64" s="10">
        <v>28</v>
      </c>
      <c r="F64" s="10">
        <v>36</v>
      </c>
      <c r="G64" s="11">
        <v>57</v>
      </c>
    </row>
    <row r="65" spans="1:7" x14ac:dyDescent="0.25">
      <c r="A65" s="2" t="s">
        <v>15</v>
      </c>
      <c r="B65" s="4">
        <f t="shared" si="9"/>
        <v>23</v>
      </c>
      <c r="C65" s="10">
        <v>18</v>
      </c>
      <c r="D65" s="10">
        <v>5</v>
      </c>
      <c r="E65" s="10">
        <v>21</v>
      </c>
      <c r="F65" s="10">
        <v>15</v>
      </c>
      <c r="G65" s="11">
        <v>34</v>
      </c>
    </row>
    <row r="66" spans="1:7" x14ac:dyDescent="0.25">
      <c r="A66" s="2" t="s">
        <v>16</v>
      </c>
      <c r="B66" s="4">
        <f t="shared" si="9"/>
        <v>40</v>
      </c>
      <c r="C66" s="10">
        <v>18</v>
      </c>
      <c r="D66" s="10">
        <v>22</v>
      </c>
      <c r="E66" s="10">
        <v>24</v>
      </c>
      <c r="F66" s="10">
        <f>54+7</f>
        <v>61</v>
      </c>
      <c r="G66" s="11">
        <v>54</v>
      </c>
    </row>
    <row r="67" spans="1:7" x14ac:dyDescent="0.25">
      <c r="A67" s="3" t="s">
        <v>17</v>
      </c>
      <c r="B67" s="4">
        <f t="shared" si="9"/>
        <v>30</v>
      </c>
      <c r="C67" s="16">
        <v>20</v>
      </c>
      <c r="D67" s="16">
        <v>10</v>
      </c>
      <c r="E67" s="16">
        <v>23</v>
      </c>
      <c r="F67" s="16">
        <f>47+6</f>
        <v>53</v>
      </c>
      <c r="G67" s="17">
        <v>42</v>
      </c>
    </row>
    <row r="68" spans="1:7" x14ac:dyDescent="0.25">
      <c r="A68" s="3" t="s">
        <v>18</v>
      </c>
      <c r="B68" s="4">
        <f t="shared" si="9"/>
        <v>43</v>
      </c>
      <c r="C68" s="16">
        <v>28</v>
      </c>
      <c r="D68" s="16">
        <v>15</v>
      </c>
      <c r="E68" s="16">
        <f>31+8</f>
        <v>39</v>
      </c>
      <c r="F68" s="16">
        <f>52+4</f>
        <v>56</v>
      </c>
      <c r="G68" s="17">
        <v>67</v>
      </c>
    </row>
    <row r="69" spans="1:7" x14ac:dyDescent="0.25">
      <c r="A69" s="3" t="s">
        <v>19</v>
      </c>
      <c r="B69" s="4">
        <f t="shared" si="9"/>
        <v>46</v>
      </c>
      <c r="C69" s="16">
        <v>26</v>
      </c>
      <c r="D69" s="16">
        <v>20</v>
      </c>
      <c r="E69" s="16">
        <f>28+4</f>
        <v>32</v>
      </c>
      <c r="F69" s="16">
        <f>36+7</f>
        <v>43</v>
      </c>
      <c r="G69" s="17">
        <v>70</v>
      </c>
    </row>
    <row r="70" spans="1:7" x14ac:dyDescent="0.25">
      <c r="A70" s="3" t="s">
        <v>20</v>
      </c>
      <c r="B70" s="4">
        <f t="shared" si="9"/>
        <v>42</v>
      </c>
      <c r="C70" s="16">
        <v>21</v>
      </c>
      <c r="D70" s="16">
        <v>21</v>
      </c>
      <c r="E70" s="16">
        <v>25</v>
      </c>
      <c r="F70" s="16">
        <f>52+7</f>
        <v>59</v>
      </c>
      <c r="G70" s="17">
        <v>68</v>
      </c>
    </row>
    <row r="71" spans="1:7" x14ac:dyDescent="0.25">
      <c r="A71" s="3" t="s">
        <v>21</v>
      </c>
      <c r="B71" s="4">
        <f t="shared" si="9"/>
        <v>30</v>
      </c>
      <c r="C71" s="16">
        <v>20</v>
      </c>
      <c r="D71" s="16">
        <v>10</v>
      </c>
      <c r="E71" s="16">
        <v>23</v>
      </c>
      <c r="F71" s="16">
        <v>37</v>
      </c>
      <c r="G71" s="17">
        <v>47</v>
      </c>
    </row>
    <row r="72" spans="1:7" x14ac:dyDescent="0.25">
      <c r="A72" s="3" t="s">
        <v>22</v>
      </c>
      <c r="B72" s="4">
        <f t="shared" si="9"/>
        <v>29</v>
      </c>
      <c r="C72" s="16">
        <v>19</v>
      </c>
      <c r="D72" s="16">
        <v>10</v>
      </c>
      <c r="E72" s="16">
        <v>24</v>
      </c>
      <c r="F72" s="16">
        <f>26+9</f>
        <v>35</v>
      </c>
      <c r="G72" s="17">
        <v>44</v>
      </c>
    </row>
    <row r="73" spans="1:7" x14ac:dyDescent="0.25">
      <c r="A73" s="2" t="s">
        <v>23</v>
      </c>
      <c r="B73" s="4">
        <f t="shared" ref="B73" si="10">SUM(C73+D73)</f>
        <v>396</v>
      </c>
      <c r="C73" s="4">
        <f t="shared" ref="C73:G73" si="11">SUM(C61:C72)</f>
        <v>226</v>
      </c>
      <c r="D73" s="4">
        <f t="shared" si="11"/>
        <v>170</v>
      </c>
      <c r="E73" s="4">
        <f t="shared" si="11"/>
        <v>289</v>
      </c>
      <c r="F73" s="4">
        <f t="shared" si="11"/>
        <v>486</v>
      </c>
      <c r="G73" s="5">
        <f t="shared" si="11"/>
        <v>592</v>
      </c>
    </row>
    <row r="74" spans="1:7" x14ac:dyDescent="0.25">
      <c r="A74" s="2">
        <v>2023</v>
      </c>
      <c r="B74" s="150" t="s">
        <v>28</v>
      </c>
      <c r="C74" s="151"/>
      <c r="D74" s="151"/>
      <c r="E74" s="151"/>
      <c r="F74" s="151"/>
      <c r="G74" s="152"/>
    </row>
    <row r="75" spans="1:7" x14ac:dyDescent="0.25">
      <c r="A75" s="3" t="s">
        <v>11</v>
      </c>
      <c r="B75" s="14">
        <f>SUM(B5+B19+B33+B47+B61)</f>
        <v>661</v>
      </c>
      <c r="C75" s="14">
        <f t="shared" ref="C75:G75" si="12">SUM(C5+C19+C33+C47+C61)</f>
        <v>327</v>
      </c>
      <c r="D75" s="14">
        <f t="shared" si="12"/>
        <v>334</v>
      </c>
      <c r="E75" s="14">
        <f t="shared" si="12"/>
        <v>408</v>
      </c>
      <c r="F75" s="14">
        <f t="shared" si="12"/>
        <v>755</v>
      </c>
      <c r="G75" s="15">
        <f t="shared" si="12"/>
        <v>777</v>
      </c>
    </row>
    <row r="76" spans="1:7" x14ac:dyDescent="0.25">
      <c r="A76" s="3" t="s">
        <v>12</v>
      </c>
      <c r="B76" s="14">
        <f t="shared" ref="B76:G87" si="13">SUM(B6+B20+B34+B48+B62)</f>
        <v>761</v>
      </c>
      <c r="C76" s="14">
        <f t="shared" si="13"/>
        <v>345</v>
      </c>
      <c r="D76" s="14">
        <f t="shared" si="13"/>
        <v>416</v>
      </c>
      <c r="E76" s="14">
        <f t="shared" si="13"/>
        <v>450</v>
      </c>
      <c r="F76" s="14">
        <f t="shared" si="13"/>
        <v>942</v>
      </c>
      <c r="G76" s="15">
        <f t="shared" si="13"/>
        <v>955</v>
      </c>
    </row>
    <row r="77" spans="1:7" x14ac:dyDescent="0.25">
      <c r="A77" s="3" t="s">
        <v>13</v>
      </c>
      <c r="B77" s="14">
        <f t="shared" si="13"/>
        <v>737</v>
      </c>
      <c r="C77" s="14">
        <f t="shared" si="13"/>
        <v>392</v>
      </c>
      <c r="D77" s="14">
        <f t="shared" si="13"/>
        <v>345</v>
      </c>
      <c r="E77" s="14">
        <f t="shared" si="13"/>
        <v>463</v>
      </c>
      <c r="F77" s="14">
        <f t="shared" si="13"/>
        <v>911</v>
      </c>
      <c r="G77" s="15">
        <f t="shared" si="13"/>
        <v>900</v>
      </c>
    </row>
    <row r="78" spans="1:7" x14ac:dyDescent="0.25">
      <c r="A78" s="2" t="s">
        <v>14</v>
      </c>
      <c r="B78" s="14">
        <f t="shared" si="13"/>
        <v>830</v>
      </c>
      <c r="C78" s="14">
        <f t="shared" si="13"/>
        <v>404</v>
      </c>
      <c r="D78" s="14">
        <f t="shared" si="13"/>
        <v>426</v>
      </c>
      <c r="E78" s="14">
        <f t="shared" si="13"/>
        <v>534</v>
      </c>
      <c r="F78" s="14">
        <f t="shared" si="13"/>
        <v>1139</v>
      </c>
      <c r="G78" s="15">
        <f t="shared" si="13"/>
        <v>1076</v>
      </c>
    </row>
    <row r="79" spans="1:7" x14ac:dyDescent="0.25">
      <c r="A79" s="2" t="s">
        <v>15</v>
      </c>
      <c r="B79" s="14">
        <f t="shared" si="13"/>
        <v>693</v>
      </c>
      <c r="C79" s="14">
        <f t="shared" si="13"/>
        <v>361</v>
      </c>
      <c r="D79" s="14">
        <f t="shared" si="13"/>
        <v>332</v>
      </c>
      <c r="E79" s="14">
        <f t="shared" si="13"/>
        <v>399</v>
      </c>
      <c r="F79" s="14">
        <f t="shared" si="13"/>
        <v>784</v>
      </c>
      <c r="G79" s="15">
        <f t="shared" si="13"/>
        <v>885</v>
      </c>
    </row>
    <row r="80" spans="1:7" x14ac:dyDescent="0.25">
      <c r="A80" s="2" t="s">
        <v>16</v>
      </c>
      <c r="B80" s="14">
        <f t="shared" si="13"/>
        <v>838</v>
      </c>
      <c r="C80" s="14">
        <f t="shared" si="13"/>
        <v>476</v>
      </c>
      <c r="D80" s="14">
        <f t="shared" si="13"/>
        <v>362</v>
      </c>
      <c r="E80" s="14">
        <f t="shared" si="13"/>
        <v>564</v>
      </c>
      <c r="F80" s="14">
        <f t="shared" si="13"/>
        <v>1055</v>
      </c>
      <c r="G80" s="15">
        <f t="shared" si="13"/>
        <v>1047</v>
      </c>
    </row>
    <row r="81" spans="1:7" x14ac:dyDescent="0.25">
      <c r="A81" s="3" t="s">
        <v>17</v>
      </c>
      <c r="B81" s="14">
        <f t="shared" si="13"/>
        <v>830</v>
      </c>
      <c r="C81" s="14">
        <f t="shared" si="13"/>
        <v>440</v>
      </c>
      <c r="D81" s="14">
        <f t="shared" si="13"/>
        <v>390</v>
      </c>
      <c r="E81" s="14">
        <f t="shared" si="13"/>
        <v>494</v>
      </c>
      <c r="F81" s="14">
        <f t="shared" si="13"/>
        <v>1029</v>
      </c>
      <c r="G81" s="15">
        <f t="shared" si="13"/>
        <v>972</v>
      </c>
    </row>
    <row r="82" spans="1:7" x14ac:dyDescent="0.25">
      <c r="A82" s="3" t="s">
        <v>18</v>
      </c>
      <c r="B82" s="14">
        <f t="shared" si="13"/>
        <v>819</v>
      </c>
      <c r="C82" s="14">
        <f t="shared" si="13"/>
        <v>446</v>
      </c>
      <c r="D82" s="14">
        <f t="shared" si="13"/>
        <v>373</v>
      </c>
      <c r="E82" s="14">
        <f t="shared" si="13"/>
        <v>574</v>
      </c>
      <c r="F82" s="14">
        <f t="shared" si="13"/>
        <v>997</v>
      </c>
      <c r="G82" s="15">
        <f t="shared" si="13"/>
        <v>970</v>
      </c>
    </row>
    <row r="83" spans="1:7" x14ac:dyDescent="0.25">
      <c r="A83" s="3" t="s">
        <v>19</v>
      </c>
      <c r="B83" s="14">
        <f t="shared" si="13"/>
        <v>772</v>
      </c>
      <c r="C83" s="14">
        <f t="shared" si="13"/>
        <v>394</v>
      </c>
      <c r="D83" s="14">
        <f t="shared" si="13"/>
        <v>378</v>
      </c>
      <c r="E83" s="14">
        <f t="shared" si="13"/>
        <v>465</v>
      </c>
      <c r="F83" s="14">
        <f t="shared" si="13"/>
        <v>951</v>
      </c>
      <c r="G83" s="15">
        <f t="shared" si="13"/>
        <v>918</v>
      </c>
    </row>
    <row r="84" spans="1:7" x14ac:dyDescent="0.25">
      <c r="A84" s="3" t="s">
        <v>20</v>
      </c>
      <c r="B84" s="14">
        <f t="shared" si="13"/>
        <v>812</v>
      </c>
      <c r="C84" s="14">
        <f t="shared" si="13"/>
        <v>465</v>
      </c>
      <c r="D84" s="14">
        <f t="shared" si="13"/>
        <v>347</v>
      </c>
      <c r="E84" s="14">
        <f t="shared" si="13"/>
        <v>554</v>
      </c>
      <c r="F84" s="14">
        <f t="shared" si="13"/>
        <v>973</v>
      </c>
      <c r="G84" s="15">
        <f t="shared" si="13"/>
        <v>1005</v>
      </c>
    </row>
    <row r="85" spans="1:7" x14ac:dyDescent="0.25">
      <c r="A85" s="3" t="s">
        <v>21</v>
      </c>
      <c r="B85" s="14">
        <f t="shared" si="13"/>
        <v>903</v>
      </c>
      <c r="C85" s="14">
        <f t="shared" si="13"/>
        <v>510</v>
      </c>
      <c r="D85" s="14">
        <f t="shared" si="13"/>
        <v>393</v>
      </c>
      <c r="E85" s="14">
        <f t="shared" si="13"/>
        <v>600</v>
      </c>
      <c r="F85" s="14">
        <f t="shared" si="13"/>
        <v>1145</v>
      </c>
      <c r="G85" s="15">
        <f t="shared" si="13"/>
        <v>1368</v>
      </c>
    </row>
    <row r="86" spans="1:7" x14ac:dyDescent="0.25">
      <c r="A86" s="3" t="s">
        <v>22</v>
      </c>
      <c r="B86" s="14">
        <f t="shared" si="13"/>
        <v>878</v>
      </c>
      <c r="C86" s="14">
        <f t="shared" si="13"/>
        <v>529</v>
      </c>
      <c r="D86" s="14">
        <f t="shared" si="13"/>
        <v>349</v>
      </c>
      <c r="E86" s="14">
        <f t="shared" si="13"/>
        <v>578</v>
      </c>
      <c r="F86" s="14">
        <f t="shared" si="13"/>
        <v>1022</v>
      </c>
      <c r="G86" s="15">
        <f t="shared" si="13"/>
        <v>1357</v>
      </c>
    </row>
    <row r="87" spans="1:7" ht="15.75" thickBot="1" x14ac:dyDescent="0.3">
      <c r="A87" s="18" t="s">
        <v>23</v>
      </c>
      <c r="B87" s="19">
        <f>SUM(B17+B31+B45+B59+B73)</f>
        <v>9534</v>
      </c>
      <c r="C87" s="19">
        <f t="shared" si="13"/>
        <v>5089</v>
      </c>
      <c r="D87" s="19">
        <f t="shared" si="13"/>
        <v>4445</v>
      </c>
      <c r="E87" s="19">
        <f t="shared" si="13"/>
        <v>6083</v>
      </c>
      <c r="F87" s="19">
        <f t="shared" si="13"/>
        <v>11703</v>
      </c>
      <c r="G87" s="20">
        <f t="shared" si="13"/>
        <v>12230</v>
      </c>
    </row>
  </sheetData>
  <mergeCells count="12">
    <mergeCell ref="B74:G74"/>
    <mergeCell ref="A1:G1"/>
    <mergeCell ref="A2:A3"/>
    <mergeCell ref="B2:B3"/>
    <mergeCell ref="C2:D2"/>
    <mergeCell ref="E2:F2"/>
    <mergeCell ref="G2:G3"/>
    <mergeCell ref="B4:G4"/>
    <mergeCell ref="B18:G18"/>
    <mergeCell ref="B32:G32"/>
    <mergeCell ref="B46:G46"/>
    <mergeCell ref="B60:G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52" workbookViewId="0">
      <selection activeCell="G55" sqref="G55"/>
    </sheetView>
  </sheetViews>
  <sheetFormatPr defaultRowHeight="15" x14ac:dyDescent="0.25"/>
  <cols>
    <col min="1" max="1" width="14.140625" customWidth="1"/>
    <col min="2" max="2" width="10.140625" customWidth="1"/>
    <col min="3" max="3" width="10" customWidth="1"/>
    <col min="4" max="4" width="10.28515625" customWidth="1"/>
  </cols>
  <sheetData>
    <row r="1" spans="1:16" ht="16.5" thickBot="1" x14ac:dyDescent="0.3">
      <c r="A1" s="180" t="s">
        <v>29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2"/>
    </row>
    <row r="2" spans="1:16" ht="16.5" thickBot="1" x14ac:dyDescent="0.3">
      <c r="A2" s="183" t="s">
        <v>30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5"/>
    </row>
    <row r="3" spans="1:16" ht="25.5" x14ac:dyDescent="0.25">
      <c r="A3" s="21" t="s">
        <v>31</v>
      </c>
      <c r="B3" s="22" t="s">
        <v>32</v>
      </c>
      <c r="C3" s="22" t="s">
        <v>33</v>
      </c>
      <c r="D3" s="22" t="s">
        <v>34</v>
      </c>
      <c r="E3" s="22" t="s">
        <v>35</v>
      </c>
      <c r="F3" s="22" t="s">
        <v>36</v>
      </c>
      <c r="G3" s="22" t="s">
        <v>37</v>
      </c>
      <c r="H3" s="22" t="s">
        <v>38</v>
      </c>
      <c r="I3" s="22" t="s">
        <v>39</v>
      </c>
      <c r="J3" s="22" t="s">
        <v>40</v>
      </c>
      <c r="K3" s="22" t="s">
        <v>41</v>
      </c>
      <c r="L3" s="22" t="s">
        <v>42</v>
      </c>
      <c r="M3" s="22" t="s">
        <v>43</v>
      </c>
      <c r="N3" s="22" t="s">
        <v>44</v>
      </c>
      <c r="O3" s="22" t="s">
        <v>45</v>
      </c>
      <c r="P3" s="23" t="s">
        <v>46</v>
      </c>
    </row>
    <row r="4" spans="1:16" x14ac:dyDescent="0.25">
      <c r="A4" s="24" t="s">
        <v>11</v>
      </c>
      <c r="B4" s="25">
        <v>667752</v>
      </c>
      <c r="C4" s="25">
        <v>614039</v>
      </c>
      <c r="D4" s="25">
        <v>596122</v>
      </c>
      <c r="E4" s="25">
        <v>548739</v>
      </c>
      <c r="F4" s="25">
        <v>552323</v>
      </c>
      <c r="G4" s="26">
        <v>565694</v>
      </c>
      <c r="H4" s="26">
        <v>595212</v>
      </c>
      <c r="I4" s="26">
        <v>551060</v>
      </c>
      <c r="J4" s="26">
        <v>549565</v>
      </c>
      <c r="K4" s="26">
        <v>595720</v>
      </c>
      <c r="L4" s="26">
        <v>551170</v>
      </c>
      <c r="M4" s="26">
        <v>550000</v>
      </c>
      <c r="N4" s="26">
        <v>597661</v>
      </c>
      <c r="O4" s="27">
        <v>549507</v>
      </c>
      <c r="P4" s="28">
        <v>520799</v>
      </c>
    </row>
    <row r="5" spans="1:16" x14ac:dyDescent="0.25">
      <c r="A5" s="24" t="s">
        <v>47</v>
      </c>
      <c r="B5" s="25">
        <v>647311</v>
      </c>
      <c r="C5" s="25">
        <v>582548</v>
      </c>
      <c r="D5" s="25">
        <v>603393</v>
      </c>
      <c r="E5" s="25">
        <v>553891</v>
      </c>
      <c r="F5" s="25">
        <v>552381</v>
      </c>
      <c r="G5" s="26">
        <v>565772</v>
      </c>
      <c r="H5" s="26">
        <v>594527</v>
      </c>
      <c r="I5" s="26">
        <v>556620</v>
      </c>
      <c r="J5" s="26">
        <v>556148</v>
      </c>
      <c r="K5" s="26">
        <v>592593</v>
      </c>
      <c r="L5" s="26">
        <v>558496</v>
      </c>
      <c r="M5" s="26">
        <v>557591</v>
      </c>
      <c r="N5" s="26">
        <v>591725</v>
      </c>
      <c r="O5" s="27">
        <v>566501</v>
      </c>
      <c r="P5" s="28">
        <v>410131</v>
      </c>
    </row>
    <row r="6" spans="1:16" x14ac:dyDescent="0.25">
      <c r="A6" s="24" t="s">
        <v>13</v>
      </c>
      <c r="B6" s="25">
        <v>628636</v>
      </c>
      <c r="C6" s="25">
        <v>571792</v>
      </c>
      <c r="D6" s="25">
        <v>611120</v>
      </c>
      <c r="E6" s="25">
        <v>573799</v>
      </c>
      <c r="F6" s="25">
        <v>568144</v>
      </c>
      <c r="G6" s="26">
        <v>589244</v>
      </c>
      <c r="H6" s="26">
        <v>609578</v>
      </c>
      <c r="I6" s="26">
        <v>576595</v>
      </c>
      <c r="J6" s="26">
        <v>568330</v>
      </c>
      <c r="K6" s="26">
        <v>610350</v>
      </c>
      <c r="L6" s="26">
        <v>573371</v>
      </c>
      <c r="M6" s="26">
        <v>569610</v>
      </c>
      <c r="N6" s="26">
        <v>609555</v>
      </c>
      <c r="O6" s="27">
        <v>576544</v>
      </c>
      <c r="P6" s="28">
        <v>539933</v>
      </c>
    </row>
    <row r="7" spans="1:16" x14ac:dyDescent="0.25">
      <c r="A7" s="24" t="s">
        <v>14</v>
      </c>
      <c r="B7" s="25">
        <v>558392</v>
      </c>
      <c r="C7" s="25">
        <v>513638</v>
      </c>
      <c r="D7" s="25">
        <v>533694</v>
      </c>
      <c r="E7" s="25">
        <v>513112</v>
      </c>
      <c r="F7" s="25">
        <v>520105</v>
      </c>
      <c r="G7" s="26">
        <v>529830</v>
      </c>
      <c r="H7" s="26">
        <v>532145</v>
      </c>
      <c r="I7" s="26">
        <v>520858</v>
      </c>
      <c r="J7" s="26">
        <v>518099</v>
      </c>
      <c r="K7" s="26">
        <v>539549</v>
      </c>
      <c r="L7" s="26">
        <v>515141</v>
      </c>
      <c r="M7" s="26">
        <v>519079</v>
      </c>
      <c r="N7" s="26">
        <v>534533</v>
      </c>
      <c r="O7" s="27">
        <v>512748</v>
      </c>
      <c r="P7" s="28">
        <v>497179</v>
      </c>
    </row>
    <row r="8" spans="1:16" x14ac:dyDescent="0.25">
      <c r="A8" s="24" t="s">
        <v>15</v>
      </c>
      <c r="B8" s="25">
        <v>637317</v>
      </c>
      <c r="C8" s="25">
        <v>574028</v>
      </c>
      <c r="D8" s="25">
        <v>625343</v>
      </c>
      <c r="E8" s="25">
        <v>586911</v>
      </c>
      <c r="F8" s="25">
        <v>592585</v>
      </c>
      <c r="G8" s="26">
        <v>613489</v>
      </c>
      <c r="H8" s="26">
        <v>624936</v>
      </c>
      <c r="I8" s="26">
        <v>587433</v>
      </c>
      <c r="J8" s="26">
        <v>591211</v>
      </c>
      <c r="K8" s="26">
        <v>628043</v>
      </c>
      <c r="L8" s="26">
        <v>586342</v>
      </c>
      <c r="M8" s="26">
        <v>591599</v>
      </c>
      <c r="N8" s="26">
        <v>626112</v>
      </c>
      <c r="O8" s="27">
        <v>590916</v>
      </c>
      <c r="P8" s="28">
        <v>611589</v>
      </c>
    </row>
    <row r="9" spans="1:16" x14ac:dyDescent="0.25">
      <c r="A9" s="24" t="s">
        <v>16</v>
      </c>
      <c r="B9" s="25">
        <v>583953</v>
      </c>
      <c r="C9" s="25">
        <v>519632</v>
      </c>
      <c r="D9" s="25">
        <v>574578</v>
      </c>
      <c r="E9" s="25">
        <v>553874</v>
      </c>
      <c r="F9" s="25">
        <v>556359</v>
      </c>
      <c r="G9" s="26">
        <v>614498</v>
      </c>
      <c r="H9" s="26">
        <v>572572</v>
      </c>
      <c r="I9" s="26">
        <v>554647</v>
      </c>
      <c r="J9" s="26">
        <v>554319</v>
      </c>
      <c r="K9" s="26">
        <v>572171</v>
      </c>
      <c r="L9" s="26">
        <v>554415</v>
      </c>
      <c r="M9" s="26">
        <v>555843</v>
      </c>
      <c r="N9" s="26">
        <v>575184</v>
      </c>
      <c r="O9" s="27">
        <v>551905</v>
      </c>
      <c r="P9" s="28">
        <v>602511</v>
      </c>
    </row>
    <row r="10" spans="1:16" x14ac:dyDescent="0.25">
      <c r="A10" s="24" t="s">
        <v>17</v>
      </c>
      <c r="B10" s="25">
        <v>621929</v>
      </c>
      <c r="C10" s="25">
        <v>593085</v>
      </c>
      <c r="D10" s="25">
        <v>567152</v>
      </c>
      <c r="E10" s="25">
        <v>540136</v>
      </c>
      <c r="F10" s="25">
        <v>552370</v>
      </c>
      <c r="G10" s="26">
        <v>569450</v>
      </c>
      <c r="H10" s="26">
        <v>564527</v>
      </c>
      <c r="I10" s="26">
        <v>537089</v>
      </c>
      <c r="J10" s="26">
        <v>549284</v>
      </c>
      <c r="K10" s="26">
        <v>564757</v>
      </c>
      <c r="L10" s="26">
        <v>536818</v>
      </c>
      <c r="M10" s="26">
        <v>548855</v>
      </c>
      <c r="N10" s="26">
        <v>566052</v>
      </c>
      <c r="O10" s="27">
        <v>539365</v>
      </c>
      <c r="P10" s="28">
        <v>559233</v>
      </c>
    </row>
    <row r="11" spans="1:16" x14ac:dyDescent="0.25">
      <c r="A11" s="24" t="s">
        <v>18</v>
      </c>
      <c r="B11" s="25">
        <v>714612</v>
      </c>
      <c r="C11" s="25">
        <v>663774</v>
      </c>
      <c r="D11" s="25">
        <v>628344</v>
      </c>
      <c r="E11" s="25">
        <v>578417</v>
      </c>
      <c r="F11" s="25">
        <v>588515</v>
      </c>
      <c r="G11" s="26">
        <v>604964</v>
      </c>
      <c r="H11" s="26">
        <v>620766</v>
      </c>
      <c r="I11" s="26">
        <v>577296</v>
      </c>
      <c r="J11" s="26">
        <v>587859</v>
      </c>
      <c r="K11" s="26">
        <v>623643</v>
      </c>
      <c r="L11" s="26">
        <v>577014</v>
      </c>
      <c r="M11" s="26">
        <v>587444</v>
      </c>
      <c r="N11" s="26">
        <v>619320</v>
      </c>
      <c r="O11" s="27">
        <v>575145</v>
      </c>
      <c r="P11" s="28">
        <v>620732</v>
      </c>
    </row>
    <row r="12" spans="1:16" x14ac:dyDescent="0.25">
      <c r="A12" s="24" t="s">
        <v>19</v>
      </c>
      <c r="B12" s="25">
        <v>681634</v>
      </c>
      <c r="C12" s="25">
        <v>637023</v>
      </c>
      <c r="D12" s="25">
        <v>617987</v>
      </c>
      <c r="E12" s="25">
        <v>560571</v>
      </c>
      <c r="F12" s="25">
        <v>561574</v>
      </c>
      <c r="G12" s="26">
        <v>575141</v>
      </c>
      <c r="H12" s="26">
        <v>620491</v>
      </c>
      <c r="I12" s="26">
        <v>560971</v>
      </c>
      <c r="J12" s="26">
        <v>564971</v>
      </c>
      <c r="K12" s="26">
        <v>615951</v>
      </c>
      <c r="L12" s="26">
        <v>577643</v>
      </c>
      <c r="M12" s="26">
        <v>560104</v>
      </c>
      <c r="N12" s="26">
        <v>620929</v>
      </c>
      <c r="O12" s="27">
        <v>558463</v>
      </c>
      <c r="P12" s="28">
        <v>592012</v>
      </c>
    </row>
    <row r="13" spans="1:16" x14ac:dyDescent="0.25">
      <c r="A13" s="24" t="s">
        <v>20</v>
      </c>
      <c r="B13" s="25">
        <v>750071</v>
      </c>
      <c r="C13" s="25">
        <v>637273</v>
      </c>
      <c r="D13" s="25">
        <v>668459</v>
      </c>
      <c r="E13" s="25">
        <v>604704</v>
      </c>
      <c r="F13" s="25">
        <v>550908</v>
      </c>
      <c r="G13" s="26">
        <v>744461</v>
      </c>
      <c r="H13" s="26">
        <v>664846</v>
      </c>
      <c r="I13" s="26">
        <v>605767</v>
      </c>
      <c r="J13" s="26">
        <v>602454</v>
      </c>
      <c r="K13" s="26">
        <v>660746</v>
      </c>
      <c r="L13" s="26">
        <v>626344</v>
      </c>
      <c r="M13" s="26">
        <v>592195</v>
      </c>
      <c r="N13" s="26">
        <v>660996</v>
      </c>
      <c r="O13" s="27">
        <v>598164</v>
      </c>
      <c r="P13" s="28">
        <v>616815</v>
      </c>
    </row>
    <row r="14" spans="1:16" x14ac:dyDescent="0.25">
      <c r="A14" s="24" t="s">
        <v>21</v>
      </c>
      <c r="B14" s="25">
        <v>674302</v>
      </c>
      <c r="C14" s="25">
        <v>379185</v>
      </c>
      <c r="D14" s="25">
        <v>389766</v>
      </c>
      <c r="E14" s="25">
        <v>357819</v>
      </c>
      <c r="F14" s="25">
        <v>350509</v>
      </c>
      <c r="G14" s="26">
        <v>358626</v>
      </c>
      <c r="H14" s="26">
        <v>386988</v>
      </c>
      <c r="I14" s="26">
        <v>360729</v>
      </c>
      <c r="J14" s="26">
        <v>353827</v>
      </c>
      <c r="K14" s="26">
        <v>386383</v>
      </c>
      <c r="L14" s="26">
        <v>356336</v>
      </c>
      <c r="M14" s="26">
        <v>348492</v>
      </c>
      <c r="N14" s="26">
        <v>383290</v>
      </c>
      <c r="O14" s="27">
        <v>353827</v>
      </c>
      <c r="P14" s="28">
        <v>344574</v>
      </c>
    </row>
    <row r="15" spans="1:16" x14ac:dyDescent="0.25">
      <c r="A15" s="24" t="s">
        <v>22</v>
      </c>
      <c r="B15" s="25">
        <v>616447</v>
      </c>
      <c r="C15" s="25">
        <v>582171</v>
      </c>
      <c r="D15" s="25">
        <v>567237</v>
      </c>
      <c r="E15" s="25">
        <v>536766</v>
      </c>
      <c r="F15" s="25">
        <v>534314</v>
      </c>
      <c r="G15" s="26">
        <v>555011</v>
      </c>
      <c r="H15" s="26">
        <v>564319</v>
      </c>
      <c r="I15" s="26">
        <v>529032</v>
      </c>
      <c r="J15" s="26">
        <v>536467</v>
      </c>
      <c r="K15" s="26">
        <v>563791</v>
      </c>
      <c r="L15" s="26">
        <v>532123</v>
      </c>
      <c r="M15" s="26">
        <v>533389</v>
      </c>
      <c r="N15" s="26">
        <v>561094</v>
      </c>
      <c r="O15" s="27">
        <v>526361</v>
      </c>
      <c r="P15" s="28">
        <v>505039</v>
      </c>
    </row>
    <row r="16" spans="1:16" ht="15.75" thickBot="1" x14ac:dyDescent="0.3">
      <c r="A16" s="29" t="s">
        <v>23</v>
      </c>
      <c r="B16" s="30">
        <f>SUM(B4:B15)</f>
        <v>7782356</v>
      </c>
      <c r="C16" s="30">
        <f t="shared" ref="C16:P16" si="0">SUM(C4:C15)</f>
        <v>6868188</v>
      </c>
      <c r="D16" s="30">
        <f t="shared" si="0"/>
        <v>6983195</v>
      </c>
      <c r="E16" s="30">
        <f t="shared" si="0"/>
        <v>6508739</v>
      </c>
      <c r="F16" s="30">
        <f t="shared" si="0"/>
        <v>6480087</v>
      </c>
      <c r="G16" s="30">
        <f t="shared" si="0"/>
        <v>6886180</v>
      </c>
      <c r="H16" s="30">
        <f t="shared" si="0"/>
        <v>6950907</v>
      </c>
      <c r="I16" s="30">
        <f t="shared" si="0"/>
        <v>6518097</v>
      </c>
      <c r="J16" s="30">
        <f t="shared" si="0"/>
        <v>6532534</v>
      </c>
      <c r="K16" s="30">
        <f t="shared" si="0"/>
        <v>6953697</v>
      </c>
      <c r="L16" s="30">
        <f t="shared" si="0"/>
        <v>6545213</v>
      </c>
      <c r="M16" s="30">
        <f t="shared" si="0"/>
        <v>6514201</v>
      </c>
      <c r="N16" s="30">
        <f t="shared" si="0"/>
        <v>6946451</v>
      </c>
      <c r="O16" s="30">
        <f t="shared" si="0"/>
        <v>6499446</v>
      </c>
      <c r="P16" s="31">
        <f t="shared" si="0"/>
        <v>6420547</v>
      </c>
    </row>
    <row r="17" spans="1:16" x14ac:dyDescent="0.25">
      <c r="A17" s="32" t="s">
        <v>48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4"/>
      <c r="O17" s="35"/>
      <c r="P17" s="35" t="s">
        <v>49</v>
      </c>
    </row>
    <row r="18" spans="1:16" ht="15.75" thickBot="1" x14ac:dyDescent="0.3"/>
    <row r="19" spans="1:16" ht="15.75" x14ac:dyDescent="0.25">
      <c r="A19" s="186" t="s">
        <v>29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8"/>
    </row>
    <row r="20" spans="1:16" ht="16.5" thickBot="1" x14ac:dyDescent="0.3">
      <c r="A20" s="189" t="s">
        <v>50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1"/>
    </row>
    <row r="21" spans="1:16" x14ac:dyDescent="0.25">
      <c r="A21" s="192" t="s">
        <v>51</v>
      </c>
      <c r="B21" s="173" t="s">
        <v>32</v>
      </c>
      <c r="C21" s="173" t="s">
        <v>34</v>
      </c>
      <c r="D21" s="173" t="s">
        <v>35</v>
      </c>
      <c r="E21" s="173" t="s">
        <v>36</v>
      </c>
      <c r="F21" s="173" t="s">
        <v>38</v>
      </c>
      <c r="G21" s="173" t="s">
        <v>52</v>
      </c>
      <c r="H21" s="173" t="s">
        <v>40</v>
      </c>
      <c r="I21" s="22" t="s">
        <v>53</v>
      </c>
      <c r="J21" s="22" t="s">
        <v>53</v>
      </c>
      <c r="K21" s="22" t="s">
        <v>53</v>
      </c>
      <c r="L21" s="173" t="s">
        <v>44</v>
      </c>
      <c r="M21" s="173" t="s">
        <v>45</v>
      </c>
      <c r="N21" s="175" t="s">
        <v>54</v>
      </c>
    </row>
    <row r="22" spans="1:16" x14ac:dyDescent="0.25">
      <c r="A22" s="193"/>
      <c r="B22" s="174"/>
      <c r="C22" s="174"/>
      <c r="D22" s="174"/>
      <c r="E22" s="174"/>
      <c r="F22" s="174"/>
      <c r="G22" s="174"/>
      <c r="H22" s="174"/>
      <c r="I22" s="36">
        <v>-1</v>
      </c>
      <c r="J22" s="36">
        <v>-2</v>
      </c>
      <c r="K22" s="36">
        <v>-3</v>
      </c>
      <c r="L22" s="174"/>
      <c r="M22" s="174"/>
      <c r="N22" s="176"/>
    </row>
    <row r="23" spans="1:16" x14ac:dyDescent="0.25">
      <c r="A23" s="37" t="s">
        <v>11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>
        <v>480808</v>
      </c>
    </row>
    <row r="24" spans="1:16" x14ac:dyDescent="0.25">
      <c r="A24" s="37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>
        <v>504400</v>
      </c>
    </row>
    <row r="25" spans="1:16" x14ac:dyDescent="0.25">
      <c r="A25" s="37" t="s">
        <v>13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>
        <v>502852</v>
      </c>
    </row>
    <row r="26" spans="1:16" x14ac:dyDescent="0.25">
      <c r="A26" s="37" t="s">
        <v>14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>
        <v>481367</v>
      </c>
    </row>
    <row r="27" spans="1:16" x14ac:dyDescent="0.25">
      <c r="A27" s="37" t="s">
        <v>15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>
        <v>555712</v>
      </c>
    </row>
    <row r="28" spans="1:16" x14ac:dyDescent="0.25">
      <c r="A28" s="37" t="s">
        <v>16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>
        <v>651485</v>
      </c>
    </row>
    <row r="29" spans="1:16" x14ac:dyDescent="0.25">
      <c r="A29" s="37" t="s">
        <v>17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>
        <v>492270</v>
      </c>
    </row>
    <row r="30" spans="1:16" x14ac:dyDescent="0.25">
      <c r="A30" s="37" t="s">
        <v>18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>
        <v>537925</v>
      </c>
    </row>
    <row r="31" spans="1:16" x14ac:dyDescent="0.25">
      <c r="A31" s="37" t="s">
        <v>19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>
        <v>505655</v>
      </c>
    </row>
    <row r="32" spans="1:16" x14ac:dyDescent="0.25">
      <c r="A32" s="37" t="s">
        <v>20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>
        <v>528334</v>
      </c>
    </row>
    <row r="33" spans="1:14" x14ac:dyDescent="0.25">
      <c r="A33" s="37" t="s">
        <v>21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>
        <v>292214</v>
      </c>
    </row>
    <row r="34" spans="1:14" x14ac:dyDescent="0.25">
      <c r="A34" s="37" t="s">
        <v>22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>
        <v>460397</v>
      </c>
    </row>
    <row r="35" spans="1:14" ht="15.75" thickBot="1" x14ac:dyDescent="0.3">
      <c r="A35" s="40" t="s">
        <v>23</v>
      </c>
      <c r="B35" s="41">
        <f>SUM(B23:B34)</f>
        <v>0</v>
      </c>
      <c r="C35" s="41">
        <f t="shared" ref="C35:N35" si="1">SUM(C23:C34)</f>
        <v>0</v>
      </c>
      <c r="D35" s="41">
        <f t="shared" si="1"/>
        <v>0</v>
      </c>
      <c r="E35" s="41">
        <f t="shared" si="1"/>
        <v>0</v>
      </c>
      <c r="F35" s="41">
        <f t="shared" si="1"/>
        <v>0</v>
      </c>
      <c r="G35" s="41">
        <f t="shared" si="1"/>
        <v>0</v>
      </c>
      <c r="H35" s="41">
        <f t="shared" si="1"/>
        <v>0</v>
      </c>
      <c r="I35" s="41">
        <f t="shared" si="1"/>
        <v>0</v>
      </c>
      <c r="J35" s="41">
        <f t="shared" si="1"/>
        <v>0</v>
      </c>
      <c r="K35" s="41">
        <f t="shared" si="1"/>
        <v>0</v>
      </c>
      <c r="L35" s="41">
        <f t="shared" si="1"/>
        <v>0</v>
      </c>
      <c r="M35" s="41">
        <f t="shared" si="1"/>
        <v>0</v>
      </c>
      <c r="N35" s="41">
        <f t="shared" si="1"/>
        <v>5993419</v>
      </c>
    </row>
    <row r="37" spans="1:14" ht="15.75" thickBot="1" x14ac:dyDescent="0.3"/>
    <row r="38" spans="1:14" ht="15.75" x14ac:dyDescent="0.25">
      <c r="A38" s="177" t="s">
        <v>29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4" ht="16.5" thickBot="1" x14ac:dyDescent="0.3">
      <c r="A39" s="166" t="s">
        <v>55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8"/>
    </row>
    <row r="40" spans="1:14" x14ac:dyDescent="0.25">
      <c r="A40" s="169" t="s">
        <v>51</v>
      </c>
      <c r="B40" s="171" t="s">
        <v>56</v>
      </c>
      <c r="C40" s="171"/>
      <c r="D40" s="171"/>
      <c r="E40" s="171"/>
      <c r="F40" s="171"/>
      <c r="G40" s="171" t="s">
        <v>57</v>
      </c>
      <c r="H40" s="171"/>
      <c r="I40" s="171"/>
      <c r="J40" s="171"/>
      <c r="K40" s="172"/>
    </row>
    <row r="41" spans="1:14" x14ac:dyDescent="0.25">
      <c r="A41" s="170"/>
      <c r="B41" s="42" t="s">
        <v>58</v>
      </c>
      <c r="C41" s="42" t="s">
        <v>59</v>
      </c>
      <c r="D41" s="42" t="s">
        <v>60</v>
      </c>
      <c r="E41" s="42" t="s">
        <v>61</v>
      </c>
      <c r="F41" s="42" t="s">
        <v>62</v>
      </c>
      <c r="G41" s="42" t="s">
        <v>58</v>
      </c>
      <c r="H41" s="42" t="s">
        <v>59</v>
      </c>
      <c r="I41" s="42" t="s">
        <v>60</v>
      </c>
      <c r="J41" s="42" t="s">
        <v>61</v>
      </c>
      <c r="K41" s="43" t="s">
        <v>62</v>
      </c>
    </row>
    <row r="42" spans="1:14" x14ac:dyDescent="0.25">
      <c r="A42" s="37" t="s">
        <v>11</v>
      </c>
      <c r="B42" s="38">
        <v>419613</v>
      </c>
      <c r="C42" s="38">
        <v>360960</v>
      </c>
      <c r="D42" s="38">
        <v>35230</v>
      </c>
      <c r="E42" s="38">
        <v>11114</v>
      </c>
      <c r="F42" s="38">
        <v>5545</v>
      </c>
      <c r="G42" s="38">
        <v>15372</v>
      </c>
      <c r="H42" s="38">
        <v>10723</v>
      </c>
      <c r="I42" s="38">
        <v>10823</v>
      </c>
      <c r="J42" s="38">
        <v>3172</v>
      </c>
      <c r="K42" s="44">
        <v>1519</v>
      </c>
    </row>
    <row r="43" spans="1:14" x14ac:dyDescent="0.25">
      <c r="A43" s="37" t="s">
        <v>47</v>
      </c>
      <c r="B43" s="38">
        <v>410819</v>
      </c>
      <c r="C43" s="38">
        <v>356006</v>
      </c>
      <c r="D43" s="38">
        <v>33464</v>
      </c>
      <c r="E43" s="38">
        <v>10302</v>
      </c>
      <c r="F43" s="38">
        <v>4128</v>
      </c>
      <c r="G43" s="38">
        <v>86540</v>
      </c>
      <c r="H43" s="38">
        <v>63311</v>
      </c>
      <c r="I43" s="38">
        <v>21440</v>
      </c>
      <c r="J43" s="38">
        <v>6311</v>
      </c>
      <c r="K43" s="44">
        <v>1127</v>
      </c>
    </row>
    <row r="44" spans="1:14" x14ac:dyDescent="0.25">
      <c r="A44" s="37" t="s">
        <v>13</v>
      </c>
      <c r="B44" s="38">
        <v>406057</v>
      </c>
      <c r="C44" s="38">
        <v>375706</v>
      </c>
      <c r="D44" s="38">
        <v>33222</v>
      </c>
      <c r="E44" s="38">
        <v>10786</v>
      </c>
      <c r="F44" s="38">
        <v>4512</v>
      </c>
      <c r="G44" s="38">
        <v>23597</v>
      </c>
      <c r="H44" s="38">
        <v>11249</v>
      </c>
      <c r="I44" s="38">
        <v>11681</v>
      </c>
      <c r="J44" s="38">
        <v>3644</v>
      </c>
      <c r="K44" s="44">
        <v>1887</v>
      </c>
    </row>
    <row r="45" spans="1:14" x14ac:dyDescent="0.25">
      <c r="A45" s="37" t="s">
        <v>14</v>
      </c>
      <c r="B45" s="38">
        <v>383630</v>
      </c>
      <c r="C45" s="38">
        <v>337821</v>
      </c>
      <c r="D45" s="38">
        <v>33534</v>
      </c>
      <c r="E45" s="38">
        <v>9250</v>
      </c>
      <c r="F45" s="38">
        <v>3898</v>
      </c>
      <c r="G45" s="38">
        <v>13121</v>
      </c>
      <c r="H45" s="38">
        <v>8831</v>
      </c>
      <c r="I45" s="38">
        <v>9045</v>
      </c>
      <c r="J45" s="38">
        <v>2707</v>
      </c>
      <c r="K45" s="44">
        <v>1313</v>
      </c>
    </row>
    <row r="46" spans="1:14" x14ac:dyDescent="0.25">
      <c r="A46" s="37" t="s">
        <v>15</v>
      </c>
      <c r="B46" s="38">
        <v>477751</v>
      </c>
      <c r="C46" s="38">
        <v>375461</v>
      </c>
      <c r="D46" s="38">
        <v>39415</v>
      </c>
      <c r="E46" s="38">
        <v>9940</v>
      </c>
      <c r="F46" s="38">
        <v>5564</v>
      </c>
      <c r="G46" s="38">
        <v>26473</v>
      </c>
      <c r="H46" s="38">
        <v>17767</v>
      </c>
      <c r="I46" s="38">
        <v>19097</v>
      </c>
      <c r="J46" s="38">
        <v>5353</v>
      </c>
      <c r="K46" s="44">
        <v>2563</v>
      </c>
    </row>
    <row r="47" spans="1:14" x14ac:dyDescent="0.25">
      <c r="A47" s="37" t="s">
        <v>16</v>
      </c>
      <c r="B47" s="38">
        <v>476274</v>
      </c>
      <c r="C47" s="38">
        <v>387842</v>
      </c>
      <c r="D47" s="38">
        <v>40563</v>
      </c>
      <c r="E47" s="38">
        <v>11077</v>
      </c>
      <c r="F47" s="38">
        <v>6045</v>
      </c>
      <c r="G47" s="38">
        <v>48231</v>
      </c>
      <c r="H47" s="38">
        <v>20553</v>
      </c>
      <c r="I47" s="38">
        <v>18955</v>
      </c>
      <c r="J47" s="38">
        <v>5713</v>
      </c>
      <c r="K47" s="44">
        <v>2965</v>
      </c>
    </row>
    <row r="48" spans="1:14" x14ac:dyDescent="0.25">
      <c r="A48" s="37" t="s">
        <v>17</v>
      </c>
      <c r="B48" s="38">
        <v>447657</v>
      </c>
      <c r="C48" s="38">
        <v>419468</v>
      </c>
      <c r="D48" s="38">
        <v>36940</v>
      </c>
      <c r="E48" s="38">
        <v>9854</v>
      </c>
      <c r="F48" s="38">
        <v>5505</v>
      </c>
      <c r="G48" s="38">
        <v>32862</v>
      </c>
      <c r="H48" s="38">
        <v>20058</v>
      </c>
      <c r="I48" s="38">
        <v>16674</v>
      </c>
      <c r="J48" s="38">
        <v>4426</v>
      </c>
      <c r="K48" s="44">
        <v>2433</v>
      </c>
    </row>
    <row r="49" spans="1:11" x14ac:dyDescent="0.25">
      <c r="A49" s="37" t="s">
        <v>18</v>
      </c>
      <c r="B49" s="38">
        <v>490836</v>
      </c>
      <c r="C49" s="38">
        <v>404738</v>
      </c>
      <c r="D49" s="38">
        <v>39883</v>
      </c>
      <c r="E49" s="38">
        <v>10650</v>
      </c>
      <c r="F49" s="38">
        <v>6012</v>
      </c>
      <c r="G49" s="38">
        <v>36582</v>
      </c>
      <c r="H49" s="38">
        <v>22373</v>
      </c>
      <c r="I49" s="38">
        <v>19397</v>
      </c>
      <c r="J49" s="38">
        <v>5771</v>
      </c>
      <c r="K49" s="44">
        <v>2747</v>
      </c>
    </row>
    <row r="50" spans="1:11" x14ac:dyDescent="0.25">
      <c r="A50" s="37" t="s">
        <v>19</v>
      </c>
      <c r="B50" s="38">
        <v>457303</v>
      </c>
      <c r="C50" s="38">
        <v>394588</v>
      </c>
      <c r="D50" s="38">
        <v>39547</v>
      </c>
      <c r="E50" s="38">
        <v>10740</v>
      </c>
      <c r="F50" s="38">
        <v>5963</v>
      </c>
      <c r="G50" s="38">
        <v>35249</v>
      </c>
      <c r="H50" s="38">
        <v>22701</v>
      </c>
      <c r="I50" s="38">
        <v>18323</v>
      </c>
      <c r="J50" s="38">
        <v>5288</v>
      </c>
      <c r="K50" s="44">
        <v>2910</v>
      </c>
    </row>
    <row r="51" spans="1:11" x14ac:dyDescent="0.25">
      <c r="A51" s="37" t="s">
        <v>20</v>
      </c>
      <c r="B51" s="38">
        <v>462740</v>
      </c>
      <c r="C51" s="38">
        <v>330093</v>
      </c>
      <c r="D51" s="38">
        <v>40894</v>
      </c>
      <c r="E51" s="38">
        <v>10285</v>
      </c>
      <c r="F51" s="38">
        <v>5629</v>
      </c>
      <c r="G51" s="38">
        <v>13148</v>
      </c>
      <c r="H51" s="38">
        <v>12927</v>
      </c>
      <c r="I51" s="38">
        <v>12667</v>
      </c>
      <c r="J51" s="38">
        <v>3626</v>
      </c>
      <c r="K51" s="44">
        <v>1856</v>
      </c>
    </row>
    <row r="52" spans="1:11" x14ac:dyDescent="0.25">
      <c r="A52" s="37" t="s">
        <v>21</v>
      </c>
      <c r="B52" s="38">
        <v>238674</v>
      </c>
      <c r="C52" s="38">
        <v>204058</v>
      </c>
      <c r="D52" s="38">
        <v>21600</v>
      </c>
      <c r="E52" s="38">
        <v>5696</v>
      </c>
      <c r="F52" s="38">
        <v>2781</v>
      </c>
      <c r="G52" s="38">
        <v>28509</v>
      </c>
      <c r="H52" s="38">
        <v>9842</v>
      </c>
      <c r="I52" s="38">
        <v>9876</v>
      </c>
      <c r="J52" s="38">
        <v>3869</v>
      </c>
      <c r="K52" s="44">
        <v>1356</v>
      </c>
    </row>
    <row r="53" spans="1:11" x14ac:dyDescent="0.25">
      <c r="A53" s="37" t="s">
        <v>22</v>
      </c>
      <c r="B53" s="38">
        <v>402922</v>
      </c>
      <c r="C53" s="38">
        <v>364474</v>
      </c>
      <c r="D53" s="38">
        <v>37009</v>
      </c>
      <c r="E53" s="38">
        <v>9565</v>
      </c>
      <c r="F53" s="38">
        <v>5067</v>
      </c>
      <c r="G53" s="38">
        <v>28765</v>
      </c>
      <c r="H53" s="38">
        <v>17488</v>
      </c>
      <c r="I53" s="38">
        <v>16410</v>
      </c>
      <c r="J53" s="38">
        <v>4803</v>
      </c>
      <c r="K53" s="44">
        <v>2990</v>
      </c>
    </row>
    <row r="54" spans="1:11" ht="15.75" thickBot="1" x14ac:dyDescent="0.3">
      <c r="A54" s="40" t="s">
        <v>23</v>
      </c>
      <c r="B54" s="41">
        <f>SUM(B42:B53)</f>
        <v>5074276</v>
      </c>
      <c r="C54" s="41">
        <f t="shared" ref="C54:K54" si="2">SUM(C42:C53)</f>
        <v>4311215</v>
      </c>
      <c r="D54" s="41">
        <f t="shared" si="2"/>
        <v>431301</v>
      </c>
      <c r="E54" s="41">
        <f t="shared" si="2"/>
        <v>119259</v>
      </c>
      <c r="F54" s="41">
        <f t="shared" si="2"/>
        <v>60649</v>
      </c>
      <c r="G54" s="41">
        <f t="shared" si="2"/>
        <v>388449</v>
      </c>
      <c r="H54" s="41">
        <f t="shared" si="2"/>
        <v>237823</v>
      </c>
      <c r="I54" s="41">
        <f t="shared" si="2"/>
        <v>184388</v>
      </c>
      <c r="J54" s="41">
        <f t="shared" si="2"/>
        <v>54683</v>
      </c>
      <c r="K54" s="45">
        <f t="shared" si="2"/>
        <v>25666</v>
      </c>
    </row>
    <row r="55" spans="1:11" ht="15.75" x14ac:dyDescent="0.25">
      <c r="A55" s="46" t="s">
        <v>63</v>
      </c>
      <c r="B55" s="47"/>
      <c r="C55" s="47"/>
      <c r="D55" s="47"/>
      <c r="E55" s="47"/>
    </row>
  </sheetData>
  <mergeCells count="20">
    <mergeCell ref="L21:L22"/>
    <mergeCell ref="M21:M22"/>
    <mergeCell ref="N21:N22"/>
    <mergeCell ref="A38:K38"/>
    <mergeCell ref="A1:P1"/>
    <mergeCell ref="A2:P2"/>
    <mergeCell ref="A19:N19"/>
    <mergeCell ref="A20:N20"/>
    <mergeCell ref="A21:A22"/>
    <mergeCell ref="B21:B22"/>
    <mergeCell ref="C21:C22"/>
    <mergeCell ref="D21:D22"/>
    <mergeCell ref="E21:E22"/>
    <mergeCell ref="F21:F22"/>
    <mergeCell ref="A39:K39"/>
    <mergeCell ref="A40:A41"/>
    <mergeCell ref="B40:F40"/>
    <mergeCell ref="G40:K40"/>
    <mergeCell ref="G21:G22"/>
    <mergeCell ref="H21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J16" sqref="J16"/>
    </sheetView>
  </sheetViews>
  <sheetFormatPr defaultRowHeight="15" x14ac:dyDescent="0.25"/>
  <cols>
    <col min="1" max="1" width="13.7109375" customWidth="1"/>
    <col min="2" max="2" width="13.28515625" customWidth="1"/>
    <col min="3" max="3" width="11.7109375" customWidth="1"/>
    <col min="4" max="4" width="11.42578125" customWidth="1"/>
    <col min="5" max="5" width="12.140625" customWidth="1"/>
    <col min="6" max="6" width="11.85546875" customWidth="1"/>
    <col min="7" max="7" width="12.7109375" customWidth="1"/>
  </cols>
  <sheetData>
    <row r="1" spans="1:7" x14ac:dyDescent="0.25">
      <c r="A1" s="194" t="s">
        <v>64</v>
      </c>
      <c r="B1" s="195"/>
      <c r="C1" s="195"/>
      <c r="D1" s="195"/>
      <c r="E1" s="195"/>
      <c r="F1" s="195"/>
      <c r="G1" s="196"/>
    </row>
    <row r="2" spans="1:7" x14ac:dyDescent="0.25">
      <c r="A2" s="197"/>
      <c r="B2" s="198"/>
      <c r="C2" s="198"/>
      <c r="D2" s="198"/>
      <c r="E2" s="198"/>
      <c r="F2" s="198"/>
      <c r="G2" s="199"/>
    </row>
    <row r="3" spans="1:7" x14ac:dyDescent="0.25">
      <c r="A3" s="200" t="s">
        <v>65</v>
      </c>
      <c r="B3" s="201" t="s">
        <v>66</v>
      </c>
      <c r="C3" s="201"/>
      <c r="D3" s="201"/>
      <c r="E3" s="201"/>
      <c r="F3" s="201"/>
      <c r="G3" s="202"/>
    </row>
    <row r="4" spans="1:7" x14ac:dyDescent="0.25">
      <c r="A4" s="200"/>
      <c r="B4" s="201" t="s">
        <v>23</v>
      </c>
      <c r="C4" s="48" t="s">
        <v>67</v>
      </c>
      <c r="D4" s="201" t="s">
        <v>68</v>
      </c>
      <c r="E4" s="48" t="s">
        <v>69</v>
      </c>
      <c r="F4" s="201" t="s">
        <v>70</v>
      </c>
      <c r="G4" s="202" t="s">
        <v>71</v>
      </c>
    </row>
    <row r="5" spans="1:7" x14ac:dyDescent="0.25">
      <c r="A5" s="200"/>
      <c r="B5" s="201"/>
      <c r="C5" s="48" t="s">
        <v>72</v>
      </c>
      <c r="D5" s="201"/>
      <c r="E5" s="48" t="s">
        <v>73</v>
      </c>
      <c r="F5" s="201"/>
      <c r="G5" s="202"/>
    </row>
    <row r="6" spans="1:7" x14ac:dyDescent="0.25">
      <c r="A6" s="49" t="s">
        <v>11</v>
      </c>
      <c r="B6" s="50">
        <f>C6+D6+E6+F6+G6</f>
        <v>192777316</v>
      </c>
      <c r="C6" s="51">
        <v>73432773</v>
      </c>
      <c r="D6" s="51">
        <v>45735278</v>
      </c>
      <c r="E6" s="51">
        <v>23661518</v>
      </c>
      <c r="F6" s="51">
        <v>48285002</v>
      </c>
      <c r="G6" s="52">
        <v>1662745</v>
      </c>
    </row>
    <row r="7" spans="1:7" x14ac:dyDescent="0.25">
      <c r="A7" s="49" t="s">
        <v>47</v>
      </c>
      <c r="B7" s="50">
        <f t="shared" ref="B7:B17" si="0">C7+D7+E7+F7+G7</f>
        <v>193852139</v>
      </c>
      <c r="C7" s="51">
        <v>73784666</v>
      </c>
      <c r="D7" s="51">
        <v>46101716</v>
      </c>
      <c r="E7" s="51">
        <v>23894076</v>
      </c>
      <c r="F7" s="51">
        <v>48414488</v>
      </c>
      <c r="G7" s="52">
        <v>1657193</v>
      </c>
    </row>
    <row r="8" spans="1:7" x14ac:dyDescent="0.25">
      <c r="A8" s="49" t="s">
        <v>13</v>
      </c>
      <c r="B8" s="50">
        <f t="shared" si="0"/>
        <v>194123410</v>
      </c>
      <c r="C8" s="51">
        <v>73673067</v>
      </c>
      <c r="D8" s="51">
        <v>46365690</v>
      </c>
      <c r="E8" s="51">
        <v>24154596</v>
      </c>
      <c r="F8" s="51">
        <v>48283490</v>
      </c>
      <c r="G8" s="52">
        <v>1646567</v>
      </c>
    </row>
    <row r="9" spans="1:7" x14ac:dyDescent="0.25">
      <c r="A9" s="53" t="s">
        <v>14</v>
      </c>
      <c r="B9" s="50">
        <f t="shared" si="0"/>
        <v>192597578</v>
      </c>
      <c r="C9" s="54">
        <v>72418082</v>
      </c>
      <c r="D9" s="54">
        <v>46355196</v>
      </c>
      <c r="E9" s="54">
        <v>24223082</v>
      </c>
      <c r="F9" s="54">
        <v>47964189</v>
      </c>
      <c r="G9" s="54">
        <v>1637029</v>
      </c>
    </row>
    <row r="10" spans="1:7" x14ac:dyDescent="0.25">
      <c r="A10" s="53" t="s">
        <v>15</v>
      </c>
      <c r="B10" s="50">
        <f t="shared" si="0"/>
        <v>192273300</v>
      </c>
      <c r="C10" s="54">
        <v>72357409</v>
      </c>
      <c r="D10" s="54">
        <v>46462746</v>
      </c>
      <c r="E10" s="54">
        <v>24303909</v>
      </c>
      <c r="F10" s="54">
        <v>47481359</v>
      </c>
      <c r="G10" s="54">
        <v>1667877</v>
      </c>
    </row>
    <row r="11" spans="1:7" x14ac:dyDescent="0.25">
      <c r="A11" s="53" t="s">
        <v>74</v>
      </c>
      <c r="B11" s="50">
        <f t="shared" si="0"/>
        <v>190948634</v>
      </c>
      <c r="C11" s="54">
        <v>71334141</v>
      </c>
      <c r="D11" s="54">
        <v>46512493</v>
      </c>
      <c r="E11" s="54">
        <v>24503956</v>
      </c>
      <c r="F11" s="54">
        <v>46921677</v>
      </c>
      <c r="G11" s="54">
        <v>1676367</v>
      </c>
    </row>
    <row r="12" spans="1:7" x14ac:dyDescent="0.25">
      <c r="A12" s="53" t="s">
        <v>17</v>
      </c>
      <c r="B12" s="50">
        <f t="shared" si="0"/>
        <v>190547511</v>
      </c>
      <c r="C12" s="54">
        <v>70864146</v>
      </c>
      <c r="D12" s="54">
        <v>46669804</v>
      </c>
      <c r="E12" s="54">
        <v>24730951</v>
      </c>
      <c r="F12" s="54">
        <v>46599799</v>
      </c>
      <c r="G12" s="54">
        <v>1682811</v>
      </c>
    </row>
    <row r="13" spans="1:7" x14ac:dyDescent="0.25">
      <c r="A13" s="53" t="s">
        <v>18</v>
      </c>
      <c r="B13" s="50">
        <f t="shared" si="0"/>
        <v>190443439</v>
      </c>
      <c r="C13" s="54">
        <v>70731553</v>
      </c>
      <c r="D13" s="54">
        <v>46812703</v>
      </c>
      <c r="E13" s="54">
        <v>25033328</v>
      </c>
      <c r="F13" s="54">
        <v>46172740</v>
      </c>
      <c r="G13" s="54">
        <v>1693115</v>
      </c>
    </row>
    <row r="14" spans="1:7" x14ac:dyDescent="0.25">
      <c r="A14" s="53" t="s">
        <v>19</v>
      </c>
      <c r="B14" s="50">
        <f t="shared" si="0"/>
        <v>189740311</v>
      </c>
      <c r="C14" s="54">
        <v>70189093</v>
      </c>
      <c r="D14" s="54">
        <v>46895244</v>
      </c>
      <c r="E14" s="54">
        <v>25189390</v>
      </c>
      <c r="F14" s="54">
        <v>45764251</v>
      </c>
      <c r="G14" s="54">
        <v>1702333</v>
      </c>
    </row>
    <row r="15" spans="1:7" x14ac:dyDescent="0.25">
      <c r="A15" s="53" t="s">
        <v>20</v>
      </c>
      <c r="B15" s="50">
        <f t="shared" si="0"/>
        <v>189766717</v>
      </c>
      <c r="C15" s="54">
        <v>70500730</v>
      </c>
      <c r="D15" s="54">
        <v>47103230</v>
      </c>
      <c r="E15" s="54">
        <v>25208850</v>
      </c>
      <c r="F15" s="54">
        <v>45239696</v>
      </c>
      <c r="G15" s="54">
        <v>1714211</v>
      </c>
    </row>
    <row r="16" spans="1:7" x14ac:dyDescent="0.25">
      <c r="A16" s="53" t="s">
        <v>21</v>
      </c>
      <c r="B16" s="50">
        <f t="shared" si="0"/>
        <v>189262854</v>
      </c>
      <c r="C16" s="54">
        <v>70457387</v>
      </c>
      <c r="D16" s="54">
        <v>47000692</v>
      </c>
      <c r="E16" s="54">
        <v>25192849</v>
      </c>
      <c r="F16" s="54">
        <v>44886956</v>
      </c>
      <c r="G16" s="54">
        <v>1724970</v>
      </c>
    </row>
    <row r="17" spans="1:7" x14ac:dyDescent="0.25">
      <c r="A17" s="53" t="s">
        <v>22</v>
      </c>
      <c r="B17" s="50">
        <f t="shared" si="0"/>
        <v>189439343</v>
      </c>
      <c r="C17" s="54">
        <v>70614202</v>
      </c>
      <c r="D17" s="54">
        <v>47165235</v>
      </c>
      <c r="E17" s="54">
        <v>25205331</v>
      </c>
      <c r="F17" s="54">
        <v>44718569</v>
      </c>
      <c r="G17" s="54">
        <v>1736006</v>
      </c>
    </row>
    <row r="18" spans="1:7" ht="15.75" thickBot="1" x14ac:dyDescent="0.3">
      <c r="A18" s="55" t="s">
        <v>75</v>
      </c>
      <c r="B18" s="56">
        <f>SUM(B6:B17)</f>
        <v>2295772552</v>
      </c>
      <c r="C18" s="56">
        <f t="shared" ref="C18:G18" si="1">SUM(C6:C17)</f>
        <v>860357249</v>
      </c>
      <c r="D18" s="56">
        <f t="shared" si="1"/>
        <v>559180027</v>
      </c>
      <c r="E18" s="56">
        <f t="shared" si="1"/>
        <v>295301836</v>
      </c>
      <c r="F18" s="56">
        <f t="shared" si="1"/>
        <v>560732216</v>
      </c>
      <c r="G18" s="56">
        <f t="shared" si="1"/>
        <v>20201224</v>
      </c>
    </row>
    <row r="19" spans="1:7" ht="15.75" x14ac:dyDescent="0.25">
      <c r="A19" s="57" t="s">
        <v>76</v>
      </c>
      <c r="B19" s="58"/>
      <c r="C19" s="58"/>
      <c r="D19" s="58"/>
      <c r="E19" s="58"/>
    </row>
    <row r="20" spans="1:7" ht="15.75" x14ac:dyDescent="0.25">
      <c r="A20" s="59" t="s">
        <v>77</v>
      </c>
      <c r="B20" s="58" t="s">
        <v>78</v>
      </c>
      <c r="C20" s="58"/>
      <c r="D20" s="58"/>
    </row>
  </sheetData>
  <mergeCells count="7">
    <mergeCell ref="A1:G2"/>
    <mergeCell ref="A3:A5"/>
    <mergeCell ref="B3:G3"/>
    <mergeCell ref="B4:B5"/>
    <mergeCell ref="D4:D5"/>
    <mergeCell ref="F4:F5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30" sqref="I30"/>
    </sheetView>
  </sheetViews>
  <sheetFormatPr defaultRowHeight="15" x14ac:dyDescent="0.25"/>
  <cols>
    <col min="1" max="1" width="10.140625" customWidth="1"/>
    <col min="2" max="2" width="13" customWidth="1"/>
  </cols>
  <sheetData>
    <row r="1" spans="1:9" x14ac:dyDescent="0.25">
      <c r="A1" s="203" t="s">
        <v>150</v>
      </c>
      <c r="B1" s="204"/>
      <c r="C1" s="204"/>
      <c r="D1" s="204"/>
      <c r="E1" s="204"/>
      <c r="F1" s="204"/>
      <c r="G1" s="204"/>
      <c r="H1" s="204"/>
      <c r="I1" s="205"/>
    </row>
    <row r="2" spans="1:9" x14ac:dyDescent="0.25">
      <c r="A2" s="206"/>
      <c r="B2" s="207"/>
      <c r="C2" s="207"/>
      <c r="D2" s="207"/>
      <c r="E2" s="207"/>
      <c r="F2" s="207"/>
      <c r="G2" s="207"/>
      <c r="H2" s="207"/>
      <c r="I2" s="208"/>
    </row>
    <row r="3" spans="1:9" ht="57" x14ac:dyDescent="0.25">
      <c r="A3" s="90" t="s">
        <v>151</v>
      </c>
      <c r="B3" s="91" t="s">
        <v>152</v>
      </c>
      <c r="C3" s="91" t="s">
        <v>153</v>
      </c>
      <c r="D3" s="91" t="s">
        <v>154</v>
      </c>
      <c r="E3" s="91" t="s">
        <v>155</v>
      </c>
      <c r="F3" s="91" t="s">
        <v>156</v>
      </c>
      <c r="G3" s="91" t="s">
        <v>157</v>
      </c>
      <c r="H3" s="91" t="s">
        <v>158</v>
      </c>
      <c r="I3" s="92" t="s">
        <v>23</v>
      </c>
    </row>
    <row r="4" spans="1:9" x14ac:dyDescent="0.25">
      <c r="A4" s="93">
        <v>1</v>
      </c>
      <c r="B4" s="94" t="s">
        <v>159</v>
      </c>
      <c r="C4" s="95">
        <v>210</v>
      </c>
      <c r="D4" s="95">
        <v>27</v>
      </c>
      <c r="E4" s="95">
        <v>146</v>
      </c>
      <c r="F4" s="95">
        <v>9</v>
      </c>
      <c r="G4" s="95">
        <v>73</v>
      </c>
      <c r="H4" s="95">
        <v>9</v>
      </c>
      <c r="I4" s="96">
        <f>SUM(E4:H4)</f>
        <v>237</v>
      </c>
    </row>
    <row r="5" spans="1:9" x14ac:dyDescent="0.25">
      <c r="A5" s="93">
        <v>2</v>
      </c>
      <c r="B5" s="94" t="s">
        <v>47</v>
      </c>
      <c r="C5" s="95">
        <v>51</v>
      </c>
      <c r="D5" s="95">
        <v>1</v>
      </c>
      <c r="E5" s="95">
        <v>48</v>
      </c>
      <c r="F5" s="95" t="s">
        <v>160</v>
      </c>
      <c r="G5" s="95">
        <v>4</v>
      </c>
      <c r="H5" s="95" t="s">
        <v>160</v>
      </c>
      <c r="I5" s="96">
        <f t="shared" ref="I5:I15" si="0">SUM(E5:H5)</f>
        <v>52</v>
      </c>
    </row>
    <row r="6" spans="1:9" x14ac:dyDescent="0.25">
      <c r="A6" s="93">
        <v>3</v>
      </c>
      <c r="B6" s="94" t="s">
        <v>13</v>
      </c>
      <c r="C6" s="95">
        <v>107</v>
      </c>
      <c r="D6" s="95">
        <v>16</v>
      </c>
      <c r="E6" s="95">
        <v>73</v>
      </c>
      <c r="F6" s="95">
        <v>21</v>
      </c>
      <c r="G6" s="95">
        <v>26</v>
      </c>
      <c r="H6" s="95">
        <v>3</v>
      </c>
      <c r="I6" s="96">
        <f t="shared" si="0"/>
        <v>123</v>
      </c>
    </row>
    <row r="7" spans="1:9" x14ac:dyDescent="0.25">
      <c r="A7" s="93">
        <v>4</v>
      </c>
      <c r="B7" s="94" t="s">
        <v>14</v>
      </c>
      <c r="C7" s="95">
        <v>22</v>
      </c>
      <c r="D7" s="95">
        <v>3</v>
      </c>
      <c r="E7" s="95">
        <v>14</v>
      </c>
      <c r="F7" s="95">
        <v>1</v>
      </c>
      <c r="G7" s="95">
        <v>10</v>
      </c>
      <c r="H7" s="95" t="s">
        <v>160</v>
      </c>
      <c r="I7" s="96">
        <f t="shared" si="0"/>
        <v>25</v>
      </c>
    </row>
    <row r="8" spans="1:9" x14ac:dyDescent="0.25">
      <c r="A8" s="93">
        <v>5</v>
      </c>
      <c r="B8" s="94" t="s">
        <v>15</v>
      </c>
      <c r="C8" s="95">
        <v>38</v>
      </c>
      <c r="D8" s="95">
        <v>5</v>
      </c>
      <c r="E8" s="95">
        <v>28</v>
      </c>
      <c r="F8" s="95">
        <v>8</v>
      </c>
      <c r="G8" s="95">
        <v>6</v>
      </c>
      <c r="H8" s="95">
        <v>1</v>
      </c>
      <c r="I8" s="96">
        <f t="shared" si="0"/>
        <v>43</v>
      </c>
    </row>
    <row r="9" spans="1:9" x14ac:dyDescent="0.25">
      <c r="A9" s="93">
        <v>6</v>
      </c>
      <c r="B9" s="94" t="s">
        <v>16</v>
      </c>
      <c r="C9" s="95">
        <v>41</v>
      </c>
      <c r="D9" s="95">
        <v>1</v>
      </c>
      <c r="E9" s="95">
        <v>35</v>
      </c>
      <c r="F9" s="95">
        <v>1</v>
      </c>
      <c r="G9" s="95">
        <v>5</v>
      </c>
      <c r="H9" s="95">
        <v>1</v>
      </c>
      <c r="I9" s="96">
        <f t="shared" si="0"/>
        <v>42</v>
      </c>
    </row>
    <row r="10" spans="1:9" x14ac:dyDescent="0.25">
      <c r="A10" s="93">
        <v>7</v>
      </c>
      <c r="B10" s="94" t="s">
        <v>17</v>
      </c>
      <c r="C10" s="95">
        <v>42</v>
      </c>
      <c r="D10" s="95">
        <v>3</v>
      </c>
      <c r="E10" s="95">
        <v>40</v>
      </c>
      <c r="F10" s="95" t="s">
        <v>205</v>
      </c>
      <c r="G10" s="95">
        <v>5</v>
      </c>
      <c r="H10" s="95" t="s">
        <v>205</v>
      </c>
      <c r="I10" s="96">
        <f t="shared" si="0"/>
        <v>45</v>
      </c>
    </row>
    <row r="11" spans="1:9" x14ac:dyDescent="0.25">
      <c r="A11" s="93">
        <v>8</v>
      </c>
      <c r="B11" s="94" t="s">
        <v>18</v>
      </c>
      <c r="C11" s="95">
        <v>26</v>
      </c>
      <c r="D11" s="95">
        <v>5</v>
      </c>
      <c r="E11" s="95">
        <v>26</v>
      </c>
      <c r="F11" s="95">
        <v>1</v>
      </c>
      <c r="G11" s="95">
        <v>4</v>
      </c>
      <c r="H11" s="95" t="s">
        <v>205</v>
      </c>
      <c r="I11" s="96">
        <f t="shared" si="0"/>
        <v>31</v>
      </c>
    </row>
    <row r="12" spans="1:9" x14ac:dyDescent="0.25">
      <c r="A12" s="93">
        <v>9</v>
      </c>
      <c r="B12" s="94" t="s">
        <v>19</v>
      </c>
      <c r="C12" s="95">
        <v>54</v>
      </c>
      <c r="D12" s="95">
        <v>16</v>
      </c>
      <c r="E12" s="95">
        <v>53</v>
      </c>
      <c r="F12" s="95">
        <v>3</v>
      </c>
      <c r="G12" s="95">
        <v>12</v>
      </c>
      <c r="H12" s="95">
        <v>2</v>
      </c>
      <c r="I12" s="96">
        <f t="shared" si="0"/>
        <v>70</v>
      </c>
    </row>
    <row r="13" spans="1:9" x14ac:dyDescent="0.25">
      <c r="A13" s="93">
        <v>10</v>
      </c>
      <c r="B13" s="94" t="s">
        <v>20</v>
      </c>
      <c r="C13" s="95">
        <v>194</v>
      </c>
      <c r="D13" s="95">
        <v>50</v>
      </c>
      <c r="E13" s="95">
        <v>207</v>
      </c>
      <c r="F13" s="95">
        <v>7</v>
      </c>
      <c r="G13" s="95">
        <v>27</v>
      </c>
      <c r="H13" s="95">
        <v>1</v>
      </c>
      <c r="I13" s="96">
        <f t="shared" si="0"/>
        <v>242</v>
      </c>
    </row>
    <row r="14" spans="1:9" x14ac:dyDescent="0.25">
      <c r="A14" s="93">
        <v>11</v>
      </c>
      <c r="B14" s="94" t="s">
        <v>21</v>
      </c>
      <c r="C14" s="95">
        <v>14</v>
      </c>
      <c r="D14" s="95">
        <v>0</v>
      </c>
      <c r="E14" s="95">
        <v>4</v>
      </c>
      <c r="F14" s="95">
        <v>3</v>
      </c>
      <c r="G14" s="95">
        <v>6</v>
      </c>
      <c r="H14" s="95">
        <v>1</v>
      </c>
      <c r="I14" s="96">
        <f t="shared" si="0"/>
        <v>14</v>
      </c>
    </row>
    <row r="15" spans="1:9" x14ac:dyDescent="0.25">
      <c r="A15" s="93">
        <v>12</v>
      </c>
      <c r="B15" s="94" t="s">
        <v>22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6">
        <f t="shared" si="0"/>
        <v>0</v>
      </c>
    </row>
    <row r="16" spans="1:9" ht="15.75" thickBot="1" x14ac:dyDescent="0.3">
      <c r="A16" s="97"/>
      <c r="B16" s="98" t="s">
        <v>23</v>
      </c>
      <c r="C16" s="99">
        <f xml:space="preserve"> SUM(C4:C15)</f>
        <v>799</v>
      </c>
      <c r="D16" s="99">
        <f t="shared" ref="D16:I16" si="1" xml:space="preserve"> SUM(D4:D15)</f>
        <v>127</v>
      </c>
      <c r="E16" s="99">
        <f t="shared" si="1"/>
        <v>674</v>
      </c>
      <c r="F16" s="99">
        <f t="shared" si="1"/>
        <v>54</v>
      </c>
      <c r="G16" s="99">
        <f t="shared" si="1"/>
        <v>178</v>
      </c>
      <c r="H16" s="99">
        <f t="shared" si="1"/>
        <v>18</v>
      </c>
      <c r="I16" s="99">
        <f t="shared" si="1"/>
        <v>924</v>
      </c>
    </row>
    <row r="17" spans="1:8" ht="15.75" x14ac:dyDescent="0.25">
      <c r="A17" s="32" t="s">
        <v>161</v>
      </c>
    </row>
    <row r="18" spans="1:8" ht="15.75" x14ac:dyDescent="0.25">
      <c r="A18" s="32" t="s">
        <v>162</v>
      </c>
    </row>
    <row r="19" spans="1:8" ht="15.75" thickBot="1" x14ac:dyDescent="0.3">
      <c r="A19" s="32"/>
    </row>
    <row r="20" spans="1:8" x14ac:dyDescent="0.25">
      <c r="A20" s="209" t="s">
        <v>163</v>
      </c>
      <c r="B20" s="210"/>
      <c r="C20" s="210"/>
      <c r="D20" s="210"/>
      <c r="E20" s="210"/>
      <c r="F20" s="210"/>
      <c r="G20" s="210"/>
      <c r="H20" s="211"/>
    </row>
    <row r="21" spans="1:8" ht="15.75" thickBot="1" x14ac:dyDescent="0.3">
      <c r="A21" s="212"/>
      <c r="B21" s="213"/>
      <c r="C21" s="213"/>
      <c r="D21" s="213"/>
      <c r="E21" s="213"/>
      <c r="F21" s="213"/>
      <c r="G21" s="213"/>
      <c r="H21" s="214"/>
    </row>
    <row r="22" spans="1:8" ht="28.5" x14ac:dyDescent="0.25">
      <c r="A22" s="215" t="s">
        <v>151</v>
      </c>
      <c r="B22" s="217" t="s">
        <v>152</v>
      </c>
      <c r="C22" s="217" t="s">
        <v>153</v>
      </c>
      <c r="D22" s="217" t="s">
        <v>154</v>
      </c>
      <c r="E22" s="100" t="s">
        <v>164</v>
      </c>
      <c r="F22" s="217" t="s">
        <v>165</v>
      </c>
      <c r="G22" s="217" t="s">
        <v>158</v>
      </c>
      <c r="H22" s="219" t="s">
        <v>23</v>
      </c>
    </row>
    <row r="23" spans="1:8" ht="34.5" customHeight="1" x14ac:dyDescent="0.25">
      <c r="A23" s="216"/>
      <c r="B23" s="218"/>
      <c r="C23" s="218"/>
      <c r="D23" s="218"/>
      <c r="E23" s="91" t="s">
        <v>166</v>
      </c>
      <c r="F23" s="218"/>
      <c r="G23" s="218"/>
      <c r="H23" s="220"/>
    </row>
    <row r="24" spans="1:8" x14ac:dyDescent="0.25">
      <c r="A24" s="101">
        <v>1</v>
      </c>
      <c r="B24" s="94" t="s">
        <v>11</v>
      </c>
      <c r="C24" s="102" t="s">
        <v>167</v>
      </c>
      <c r="D24" s="102" t="s">
        <v>167</v>
      </c>
      <c r="E24" s="102" t="s">
        <v>167</v>
      </c>
      <c r="F24" s="102" t="s">
        <v>167</v>
      </c>
      <c r="G24" s="102" t="s">
        <v>167</v>
      </c>
      <c r="H24" s="103" t="s">
        <v>167</v>
      </c>
    </row>
    <row r="25" spans="1:8" x14ac:dyDescent="0.25">
      <c r="A25" s="101">
        <v>2</v>
      </c>
      <c r="B25" s="94" t="s">
        <v>47</v>
      </c>
      <c r="C25" s="102" t="s">
        <v>167</v>
      </c>
      <c r="D25" s="102" t="s">
        <v>167</v>
      </c>
      <c r="E25" s="102" t="s">
        <v>167</v>
      </c>
      <c r="F25" s="102" t="s">
        <v>167</v>
      </c>
      <c r="G25" s="102" t="s">
        <v>167</v>
      </c>
      <c r="H25" s="103" t="s">
        <v>167</v>
      </c>
    </row>
    <row r="26" spans="1:8" x14ac:dyDescent="0.25">
      <c r="A26" s="101">
        <v>3</v>
      </c>
      <c r="B26" s="94" t="s">
        <v>13</v>
      </c>
      <c r="C26" s="102" t="s">
        <v>167</v>
      </c>
      <c r="D26" s="102" t="s">
        <v>167</v>
      </c>
      <c r="E26" s="102" t="s">
        <v>167</v>
      </c>
      <c r="F26" s="102" t="s">
        <v>167</v>
      </c>
      <c r="G26" s="102" t="s">
        <v>167</v>
      </c>
      <c r="H26" s="103" t="s">
        <v>167</v>
      </c>
    </row>
    <row r="27" spans="1:8" x14ac:dyDescent="0.25">
      <c r="A27" s="101">
        <v>4</v>
      </c>
      <c r="B27" s="94" t="s">
        <v>14</v>
      </c>
      <c r="C27" s="102" t="s">
        <v>167</v>
      </c>
      <c r="D27" s="102" t="s">
        <v>167</v>
      </c>
      <c r="E27" s="102" t="s">
        <v>167</v>
      </c>
      <c r="F27" s="102" t="s">
        <v>167</v>
      </c>
      <c r="G27" s="102" t="s">
        <v>167</v>
      </c>
      <c r="H27" s="103" t="s">
        <v>167</v>
      </c>
    </row>
    <row r="28" spans="1:8" x14ac:dyDescent="0.25">
      <c r="A28" s="101">
        <v>5</v>
      </c>
      <c r="B28" s="94" t="s">
        <v>15</v>
      </c>
      <c r="C28" s="102" t="s">
        <v>167</v>
      </c>
      <c r="D28" s="102" t="s">
        <v>167</v>
      </c>
      <c r="E28" s="102" t="s">
        <v>167</v>
      </c>
      <c r="F28" s="102" t="s">
        <v>167</v>
      </c>
      <c r="G28" s="102" t="s">
        <v>167</v>
      </c>
      <c r="H28" s="102" t="s">
        <v>167</v>
      </c>
    </row>
    <row r="29" spans="1:8" x14ac:dyDescent="0.25">
      <c r="A29" s="101">
        <v>6</v>
      </c>
      <c r="B29" s="94" t="s">
        <v>16</v>
      </c>
      <c r="C29" s="102" t="s">
        <v>167</v>
      </c>
      <c r="D29" s="102" t="s">
        <v>167</v>
      </c>
      <c r="E29" s="102" t="s">
        <v>167</v>
      </c>
      <c r="F29" s="102" t="s">
        <v>167</v>
      </c>
      <c r="G29" s="102" t="s">
        <v>167</v>
      </c>
      <c r="H29" s="102" t="s">
        <v>167</v>
      </c>
    </row>
    <row r="30" spans="1:8" x14ac:dyDescent="0.25">
      <c r="A30" s="101">
        <v>7</v>
      </c>
      <c r="B30" s="94" t="s">
        <v>17</v>
      </c>
      <c r="C30" s="102" t="s">
        <v>167</v>
      </c>
      <c r="D30" s="102" t="s">
        <v>167</v>
      </c>
      <c r="E30" s="102" t="s">
        <v>167</v>
      </c>
      <c r="F30" s="102" t="s">
        <v>167</v>
      </c>
      <c r="G30" s="102" t="s">
        <v>167</v>
      </c>
      <c r="H30" s="102" t="s">
        <v>167</v>
      </c>
    </row>
    <row r="31" spans="1:8" x14ac:dyDescent="0.25">
      <c r="A31" s="101">
        <v>8</v>
      </c>
      <c r="B31" s="94" t="s">
        <v>18</v>
      </c>
      <c r="C31" s="102" t="s">
        <v>167</v>
      </c>
      <c r="D31" s="102" t="s">
        <v>167</v>
      </c>
      <c r="E31" s="102" t="s">
        <v>167</v>
      </c>
      <c r="F31" s="102" t="s">
        <v>167</v>
      </c>
      <c r="G31" s="102" t="s">
        <v>167</v>
      </c>
      <c r="H31" s="102" t="s">
        <v>167</v>
      </c>
    </row>
    <row r="32" spans="1:8" x14ac:dyDescent="0.25">
      <c r="A32" s="101">
        <v>9</v>
      </c>
      <c r="B32" s="94" t="s">
        <v>19</v>
      </c>
      <c r="C32" s="102" t="s">
        <v>167</v>
      </c>
      <c r="D32" s="102" t="s">
        <v>167</v>
      </c>
      <c r="E32" s="102" t="s">
        <v>167</v>
      </c>
      <c r="F32" s="102" t="s">
        <v>167</v>
      </c>
      <c r="G32" s="102" t="s">
        <v>167</v>
      </c>
      <c r="H32" s="102" t="s">
        <v>167</v>
      </c>
    </row>
    <row r="33" spans="1:8" x14ac:dyDescent="0.25">
      <c r="A33" s="101">
        <v>10</v>
      </c>
      <c r="B33" s="94" t="s">
        <v>20</v>
      </c>
      <c r="C33" s="102" t="s">
        <v>167</v>
      </c>
      <c r="D33" s="102" t="s">
        <v>167</v>
      </c>
      <c r="E33" s="102" t="s">
        <v>167</v>
      </c>
      <c r="F33" s="102" t="s">
        <v>167</v>
      </c>
      <c r="G33" s="102" t="s">
        <v>167</v>
      </c>
      <c r="H33" s="102" t="s">
        <v>167</v>
      </c>
    </row>
    <row r="34" spans="1:8" x14ac:dyDescent="0.25">
      <c r="A34" s="101">
        <v>11</v>
      </c>
      <c r="B34" s="94" t="s">
        <v>21</v>
      </c>
      <c r="C34" s="102" t="s">
        <v>167</v>
      </c>
      <c r="D34" s="102" t="s">
        <v>167</v>
      </c>
      <c r="E34" s="102" t="s">
        <v>167</v>
      </c>
      <c r="F34" s="102" t="s">
        <v>167</v>
      </c>
      <c r="G34" s="102" t="s">
        <v>167</v>
      </c>
      <c r="H34" s="102" t="s">
        <v>167</v>
      </c>
    </row>
    <row r="35" spans="1:8" ht="15.75" thickBot="1" x14ac:dyDescent="0.3">
      <c r="A35" s="104">
        <v>12</v>
      </c>
      <c r="B35" s="105" t="s">
        <v>22</v>
      </c>
      <c r="C35" s="102" t="s">
        <v>167</v>
      </c>
      <c r="D35" s="102" t="s">
        <v>167</v>
      </c>
      <c r="E35" s="102" t="s">
        <v>167</v>
      </c>
      <c r="F35" s="102" t="s">
        <v>167</v>
      </c>
      <c r="G35" s="102" t="s">
        <v>167</v>
      </c>
      <c r="H35" s="102" t="s">
        <v>167</v>
      </c>
    </row>
    <row r="36" spans="1:8" ht="15.75" thickBot="1" x14ac:dyDescent="0.3">
      <c r="A36" s="106"/>
      <c r="B36" s="107" t="s">
        <v>23</v>
      </c>
      <c r="C36" s="108">
        <f>SUM(C24:C35)</f>
        <v>0</v>
      </c>
      <c r="D36" s="108">
        <f t="shared" ref="D36:H36" si="2">SUM(D24:D35)</f>
        <v>0</v>
      </c>
      <c r="E36" s="108">
        <f t="shared" si="2"/>
        <v>0</v>
      </c>
      <c r="F36" s="108">
        <f t="shared" si="2"/>
        <v>0</v>
      </c>
      <c r="G36" s="108">
        <f t="shared" si="2"/>
        <v>0</v>
      </c>
      <c r="H36" s="109">
        <f t="shared" si="2"/>
        <v>0</v>
      </c>
    </row>
    <row r="37" spans="1:8" ht="15.75" x14ac:dyDescent="0.25">
      <c r="A37" s="32" t="s">
        <v>168</v>
      </c>
    </row>
    <row r="38" spans="1:8" ht="15.75" x14ac:dyDescent="0.25">
      <c r="A38" s="32" t="s">
        <v>169</v>
      </c>
    </row>
  </sheetData>
  <mergeCells count="9">
    <mergeCell ref="A1:I2"/>
    <mergeCell ref="A20:H21"/>
    <mergeCell ref="A22:A23"/>
    <mergeCell ref="B22:B23"/>
    <mergeCell ref="C22:C23"/>
    <mergeCell ref="D22:D23"/>
    <mergeCell ref="F22:F23"/>
    <mergeCell ref="G22:G23"/>
    <mergeCell ref="H22:H23"/>
  </mergeCells>
  <pageMargins left="0.7" right="0.7" top="0.75" bottom="0.75" header="0.3" footer="0.3"/>
  <ignoredErrors>
    <ignoredError sqref="I4 I6 I8:I9 I12:I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53" workbookViewId="0">
      <selection activeCell="L35" sqref="L35"/>
    </sheetView>
  </sheetViews>
  <sheetFormatPr defaultRowHeight="15" x14ac:dyDescent="0.25"/>
  <cols>
    <col min="1" max="1" width="23.28515625" customWidth="1"/>
  </cols>
  <sheetData>
    <row r="1" spans="1:8" ht="19.5" thickBot="1" x14ac:dyDescent="0.3">
      <c r="A1" s="243" t="s">
        <v>186</v>
      </c>
      <c r="B1" s="244"/>
      <c r="C1" s="244"/>
      <c r="D1" s="244"/>
      <c r="E1" s="244"/>
      <c r="F1" s="244"/>
      <c r="G1" s="244"/>
      <c r="H1" s="245"/>
    </row>
    <row r="2" spans="1:8" ht="13.5" customHeight="1" x14ac:dyDescent="0.25">
      <c r="A2" s="246" t="s">
        <v>187</v>
      </c>
      <c r="B2" s="247"/>
      <c r="C2" s="247"/>
      <c r="D2" s="247"/>
      <c r="E2" s="247"/>
      <c r="F2" s="247"/>
      <c r="G2" s="247"/>
      <c r="H2" s="248"/>
    </row>
    <row r="3" spans="1:8" hidden="1" x14ac:dyDescent="0.25">
      <c r="A3" s="249"/>
      <c r="B3" s="250"/>
      <c r="C3" s="250"/>
      <c r="D3" s="250"/>
      <c r="E3" s="250"/>
      <c r="F3" s="250"/>
      <c r="G3" s="250"/>
      <c r="H3" s="251"/>
    </row>
    <row r="4" spans="1:8" x14ac:dyDescent="0.25">
      <c r="A4" s="252" t="s">
        <v>188</v>
      </c>
      <c r="B4" s="253" t="s">
        <v>189</v>
      </c>
      <c r="C4" s="133" t="s">
        <v>190</v>
      </c>
      <c r="D4" s="253" t="s">
        <v>191</v>
      </c>
      <c r="E4" s="253"/>
      <c r="F4" s="253"/>
      <c r="G4" s="253" t="s">
        <v>192</v>
      </c>
      <c r="H4" s="254" t="s">
        <v>193</v>
      </c>
    </row>
    <row r="5" spans="1:8" ht="33" customHeight="1" x14ac:dyDescent="0.25">
      <c r="A5" s="252"/>
      <c r="B5" s="253"/>
      <c r="C5" s="133" t="s">
        <v>194</v>
      </c>
      <c r="D5" s="133" t="s">
        <v>153</v>
      </c>
      <c r="E5" s="133" t="s">
        <v>154</v>
      </c>
      <c r="F5" s="133" t="s">
        <v>23</v>
      </c>
      <c r="G5" s="253"/>
      <c r="H5" s="254"/>
    </row>
    <row r="6" spans="1:8" x14ac:dyDescent="0.25">
      <c r="A6" s="134" t="s">
        <v>195</v>
      </c>
      <c r="B6" s="135">
        <v>741</v>
      </c>
      <c r="C6" s="135">
        <v>66</v>
      </c>
      <c r="D6" s="135">
        <v>801</v>
      </c>
      <c r="E6" s="135">
        <v>718</v>
      </c>
      <c r="F6" s="135">
        <v>1519</v>
      </c>
      <c r="G6" s="135">
        <v>135</v>
      </c>
      <c r="H6" s="136">
        <v>0.97</v>
      </c>
    </row>
    <row r="7" spans="1:8" x14ac:dyDescent="0.25">
      <c r="A7" s="134" t="s">
        <v>27</v>
      </c>
      <c r="B7" s="135">
        <v>1600</v>
      </c>
      <c r="C7" s="135">
        <v>41</v>
      </c>
      <c r="D7" s="135">
        <v>1733</v>
      </c>
      <c r="E7" s="135">
        <v>2032</v>
      </c>
      <c r="F7" s="135">
        <v>3765</v>
      </c>
      <c r="G7" s="135">
        <v>97</v>
      </c>
      <c r="H7" s="136">
        <v>0.91</v>
      </c>
    </row>
    <row r="8" spans="1:8" x14ac:dyDescent="0.25">
      <c r="A8" s="134" t="s">
        <v>196</v>
      </c>
      <c r="B8" s="135">
        <v>135</v>
      </c>
      <c r="C8" s="135">
        <v>31</v>
      </c>
      <c r="D8" s="135">
        <v>395</v>
      </c>
      <c r="E8" s="135">
        <v>408</v>
      </c>
      <c r="F8" s="135">
        <v>803</v>
      </c>
      <c r="G8" s="135">
        <v>186</v>
      </c>
      <c r="H8" s="136">
        <v>0.99</v>
      </c>
    </row>
    <row r="9" spans="1:8" x14ac:dyDescent="0.25">
      <c r="A9" s="134" t="s">
        <v>197</v>
      </c>
      <c r="B9" s="135">
        <v>321</v>
      </c>
      <c r="C9" s="135">
        <v>48</v>
      </c>
      <c r="D9" s="135">
        <v>401</v>
      </c>
      <c r="E9" s="135">
        <v>366</v>
      </c>
      <c r="F9" s="135">
        <v>767</v>
      </c>
      <c r="G9" s="135">
        <v>115</v>
      </c>
      <c r="H9" s="136">
        <v>0.82</v>
      </c>
    </row>
    <row r="10" spans="1:8" x14ac:dyDescent="0.25">
      <c r="A10" s="134" t="s">
        <v>198</v>
      </c>
      <c r="B10" s="135">
        <v>3865</v>
      </c>
      <c r="C10" s="135">
        <v>37</v>
      </c>
      <c r="D10" s="135">
        <v>6862</v>
      </c>
      <c r="E10" s="135">
        <v>6569</v>
      </c>
      <c r="F10" s="135">
        <v>13431</v>
      </c>
      <c r="G10" s="135">
        <v>128</v>
      </c>
      <c r="H10" s="136">
        <v>0.97</v>
      </c>
    </row>
    <row r="11" spans="1:8" x14ac:dyDescent="0.25">
      <c r="A11" s="134" t="s">
        <v>24</v>
      </c>
      <c r="B11" s="135">
        <v>30406</v>
      </c>
      <c r="C11" s="135">
        <v>97</v>
      </c>
      <c r="D11" s="135">
        <v>35802</v>
      </c>
      <c r="E11" s="135">
        <v>33082</v>
      </c>
      <c r="F11" s="135">
        <v>68884</v>
      </c>
      <c r="G11" s="135">
        <v>220</v>
      </c>
      <c r="H11" s="136">
        <v>0.96</v>
      </c>
    </row>
    <row r="12" spans="1:8" x14ac:dyDescent="0.25">
      <c r="A12" s="134" t="s">
        <v>25</v>
      </c>
      <c r="B12" s="135">
        <v>12198</v>
      </c>
      <c r="C12" s="135">
        <v>88</v>
      </c>
      <c r="D12" s="135">
        <v>14196</v>
      </c>
      <c r="E12" s="135">
        <v>12494</v>
      </c>
      <c r="F12" s="135">
        <v>26690</v>
      </c>
      <c r="G12" s="135">
        <v>193</v>
      </c>
      <c r="H12" s="136">
        <v>0.95</v>
      </c>
    </row>
    <row r="13" spans="1:8" ht="15.75" thickBot="1" x14ac:dyDescent="0.3">
      <c r="A13" s="137" t="s">
        <v>28</v>
      </c>
      <c r="B13" s="138">
        <f>SUM(B6:B12)</f>
        <v>49266</v>
      </c>
      <c r="C13" s="138">
        <f>SUM(C6:C12)</f>
        <v>408</v>
      </c>
      <c r="D13" s="138">
        <f>SUM(D6:D12)</f>
        <v>60190</v>
      </c>
      <c r="E13" s="138">
        <f>SUM(E6:E12)</f>
        <v>55669</v>
      </c>
      <c r="F13" s="138">
        <f>SUM(F6:F12)</f>
        <v>115859</v>
      </c>
      <c r="G13" s="138">
        <f t="shared" ref="G13" si="0">SUM(G6:G12)</f>
        <v>1074</v>
      </c>
      <c r="H13" s="136">
        <v>0.96</v>
      </c>
    </row>
    <row r="14" spans="1:8" ht="15.75" x14ac:dyDescent="0.25">
      <c r="A14" s="139"/>
      <c r="B14" s="140"/>
      <c r="C14" s="140"/>
      <c r="D14" s="140"/>
      <c r="E14" s="140"/>
      <c r="F14" s="140"/>
      <c r="G14" s="140"/>
      <c r="H14" s="141"/>
    </row>
    <row r="15" spans="1:8" x14ac:dyDescent="0.25">
      <c r="A15" s="255" t="s">
        <v>199</v>
      </c>
      <c r="B15" s="255"/>
      <c r="C15" s="255"/>
      <c r="D15" s="255"/>
      <c r="E15" s="255"/>
      <c r="F15" s="255"/>
      <c r="G15" s="255"/>
      <c r="H15" s="255"/>
    </row>
    <row r="16" spans="1:8" x14ac:dyDescent="0.25">
      <c r="A16" s="256" t="s">
        <v>200</v>
      </c>
      <c r="B16" s="256"/>
      <c r="C16" s="256"/>
      <c r="D16" s="256"/>
      <c r="E16" s="256"/>
      <c r="F16" s="256"/>
      <c r="G16" s="256"/>
      <c r="H16" s="256"/>
    </row>
    <row r="17" spans="1:8" x14ac:dyDescent="0.25">
      <c r="A17" s="256" t="s">
        <v>201</v>
      </c>
      <c r="B17" s="256"/>
      <c r="C17" s="142"/>
      <c r="D17" s="142"/>
      <c r="E17" s="142"/>
      <c r="F17" s="142"/>
      <c r="G17" s="142"/>
      <c r="H17" s="142"/>
    </row>
    <row r="18" spans="1:8" x14ac:dyDescent="0.25">
      <c r="A18" s="143"/>
      <c r="B18" s="142"/>
      <c r="C18" s="142"/>
      <c r="D18" s="142"/>
      <c r="E18" s="142"/>
      <c r="F18" s="142"/>
      <c r="G18" s="142"/>
      <c r="H18" s="142"/>
    </row>
    <row r="19" spans="1:8" ht="15.75" thickBot="1" x14ac:dyDescent="0.3">
      <c r="A19" s="143"/>
      <c r="B19" s="142"/>
      <c r="C19" s="142"/>
      <c r="D19" s="142"/>
      <c r="E19" s="142"/>
      <c r="F19" s="142"/>
      <c r="G19" s="142"/>
      <c r="H19" s="142"/>
    </row>
    <row r="20" spans="1:8" ht="19.5" thickBot="1" x14ac:dyDescent="0.3">
      <c r="A20" s="243" t="s">
        <v>186</v>
      </c>
      <c r="B20" s="244"/>
      <c r="C20" s="244"/>
      <c r="D20" s="244"/>
      <c r="E20" s="244"/>
      <c r="F20" s="244"/>
      <c r="G20" s="244"/>
      <c r="H20" s="245"/>
    </row>
    <row r="21" spans="1:8" ht="14.25" customHeight="1" x14ac:dyDescent="0.25">
      <c r="A21" s="246" t="s">
        <v>202</v>
      </c>
      <c r="B21" s="247"/>
      <c r="C21" s="247"/>
      <c r="D21" s="247"/>
      <c r="E21" s="247"/>
      <c r="F21" s="247"/>
      <c r="G21" s="247"/>
      <c r="H21" s="248"/>
    </row>
    <row r="22" spans="1:8" hidden="1" x14ac:dyDescent="0.25">
      <c r="A22" s="249"/>
      <c r="B22" s="250"/>
      <c r="C22" s="250"/>
      <c r="D22" s="250"/>
      <c r="E22" s="250"/>
      <c r="F22" s="250"/>
      <c r="G22" s="250"/>
      <c r="H22" s="251"/>
    </row>
    <row r="23" spans="1:8" x14ac:dyDescent="0.25">
      <c r="A23" s="252" t="s">
        <v>188</v>
      </c>
      <c r="B23" s="253" t="s">
        <v>189</v>
      </c>
      <c r="C23" s="133" t="s">
        <v>190</v>
      </c>
      <c r="D23" s="253" t="s">
        <v>191</v>
      </c>
      <c r="E23" s="253"/>
      <c r="F23" s="253"/>
      <c r="G23" s="253" t="s">
        <v>192</v>
      </c>
      <c r="H23" s="254" t="s">
        <v>193</v>
      </c>
    </row>
    <row r="24" spans="1:8" ht="52.5" customHeight="1" x14ac:dyDescent="0.25">
      <c r="A24" s="252"/>
      <c r="B24" s="253"/>
      <c r="C24" s="133" t="s">
        <v>194</v>
      </c>
      <c r="D24" s="133" t="s">
        <v>153</v>
      </c>
      <c r="E24" s="133" t="s">
        <v>154</v>
      </c>
      <c r="F24" s="133" t="s">
        <v>23</v>
      </c>
      <c r="G24" s="253"/>
      <c r="H24" s="254"/>
    </row>
    <row r="25" spans="1:8" x14ac:dyDescent="0.25">
      <c r="A25" s="134" t="s">
        <v>195</v>
      </c>
      <c r="B25" s="144">
        <v>813</v>
      </c>
      <c r="C25" s="144">
        <v>72</v>
      </c>
      <c r="D25" s="144">
        <v>884</v>
      </c>
      <c r="E25" s="144">
        <v>798</v>
      </c>
      <c r="F25" s="144">
        <v>1682</v>
      </c>
      <c r="G25" s="144">
        <v>150</v>
      </c>
      <c r="H25" s="145">
        <v>0.97</v>
      </c>
    </row>
    <row r="26" spans="1:8" x14ac:dyDescent="0.25">
      <c r="A26" s="134" t="s">
        <v>27</v>
      </c>
      <c r="B26" s="144">
        <v>1612</v>
      </c>
      <c r="C26" s="144">
        <v>42</v>
      </c>
      <c r="D26" s="144">
        <v>1866</v>
      </c>
      <c r="E26" s="144">
        <v>1938</v>
      </c>
      <c r="F26" s="144">
        <v>3804</v>
      </c>
      <c r="G26" s="144">
        <v>98</v>
      </c>
      <c r="H26" s="145">
        <v>0.89</v>
      </c>
    </row>
    <row r="27" spans="1:8" x14ac:dyDescent="0.25">
      <c r="A27" s="134" t="s">
        <v>196</v>
      </c>
      <c r="B27" s="144">
        <v>146</v>
      </c>
      <c r="C27" s="144">
        <v>34</v>
      </c>
      <c r="D27" s="144">
        <v>473</v>
      </c>
      <c r="E27" s="144">
        <v>442</v>
      </c>
      <c r="F27" s="144">
        <v>915</v>
      </c>
      <c r="G27" s="144">
        <v>212</v>
      </c>
      <c r="H27" s="145">
        <v>1</v>
      </c>
    </row>
    <row r="28" spans="1:8" x14ac:dyDescent="0.25">
      <c r="A28" s="134" t="s">
        <v>197</v>
      </c>
      <c r="B28" s="144">
        <v>361</v>
      </c>
      <c r="C28" s="144">
        <v>54</v>
      </c>
      <c r="D28" s="144">
        <v>464</v>
      </c>
      <c r="E28" s="144">
        <v>427</v>
      </c>
      <c r="F28" s="144">
        <v>891</v>
      </c>
      <c r="G28" s="144">
        <v>133</v>
      </c>
      <c r="H28" s="145">
        <v>0.86</v>
      </c>
    </row>
    <row r="29" spans="1:8" x14ac:dyDescent="0.25">
      <c r="A29" s="134" t="s">
        <v>198</v>
      </c>
      <c r="B29" s="144">
        <v>4122</v>
      </c>
      <c r="C29" s="144">
        <v>39</v>
      </c>
      <c r="D29" s="144">
        <v>8246</v>
      </c>
      <c r="E29" s="144">
        <v>7323</v>
      </c>
      <c r="F29" s="144">
        <v>15569</v>
      </c>
      <c r="G29" s="144">
        <v>148</v>
      </c>
      <c r="H29" s="145">
        <v>0.96</v>
      </c>
    </row>
    <row r="30" spans="1:8" x14ac:dyDescent="0.25">
      <c r="A30" s="134" t="s">
        <v>24</v>
      </c>
      <c r="B30" s="144">
        <v>30290</v>
      </c>
      <c r="C30" s="144">
        <v>97</v>
      </c>
      <c r="D30" s="144">
        <v>37027</v>
      </c>
      <c r="E30" s="144">
        <v>34563</v>
      </c>
      <c r="F30" s="144">
        <v>71590</v>
      </c>
      <c r="G30" s="144">
        <v>229</v>
      </c>
      <c r="H30" s="145">
        <v>0.96</v>
      </c>
    </row>
    <row r="31" spans="1:8" x14ac:dyDescent="0.25">
      <c r="A31" s="134" t="s">
        <v>25</v>
      </c>
      <c r="B31" s="144">
        <v>13477</v>
      </c>
      <c r="C31" s="144">
        <v>97</v>
      </c>
      <c r="D31" s="144">
        <v>14753</v>
      </c>
      <c r="E31" s="144">
        <v>13150</v>
      </c>
      <c r="F31" s="144">
        <v>27903</v>
      </c>
      <c r="G31" s="146">
        <v>201</v>
      </c>
      <c r="H31" s="145">
        <v>0.95</v>
      </c>
    </row>
    <row r="32" spans="1:8" ht="15.75" thickBot="1" x14ac:dyDescent="0.3">
      <c r="A32" s="137" t="s">
        <v>28</v>
      </c>
      <c r="B32" s="147">
        <f t="shared" ref="B32:G32" si="1">SUM(B25:B31)</f>
        <v>50821</v>
      </c>
      <c r="C32" s="147">
        <f t="shared" si="1"/>
        <v>435</v>
      </c>
      <c r="D32" s="147">
        <f t="shared" si="1"/>
        <v>63713</v>
      </c>
      <c r="E32" s="147">
        <f t="shared" si="1"/>
        <v>58641</v>
      </c>
      <c r="F32" s="147">
        <f t="shared" si="1"/>
        <v>122354</v>
      </c>
      <c r="G32" s="147">
        <f t="shared" si="1"/>
        <v>1171</v>
      </c>
      <c r="H32" s="145">
        <v>0.96</v>
      </c>
    </row>
    <row r="33" spans="1:8" ht="15.75" x14ac:dyDescent="0.25">
      <c r="A33" s="139"/>
      <c r="B33" s="148"/>
      <c r="C33" s="148"/>
      <c r="D33" s="148"/>
      <c r="E33" s="148"/>
      <c r="F33" s="148"/>
      <c r="G33" s="148"/>
      <c r="H33" s="149"/>
    </row>
    <row r="34" spans="1:8" x14ac:dyDescent="0.25">
      <c r="A34" s="255" t="s">
        <v>199</v>
      </c>
      <c r="B34" s="255"/>
      <c r="C34" s="255"/>
      <c r="D34" s="255"/>
      <c r="E34" s="255"/>
      <c r="F34" s="255"/>
      <c r="G34" s="255"/>
      <c r="H34" s="255"/>
    </row>
    <row r="35" spans="1:8" x14ac:dyDescent="0.25">
      <c r="A35" s="256" t="s">
        <v>200</v>
      </c>
      <c r="B35" s="256"/>
      <c r="C35" s="256"/>
      <c r="D35" s="256"/>
      <c r="E35" s="256"/>
      <c r="F35" s="256"/>
      <c r="G35" s="256"/>
      <c r="H35" s="256"/>
    </row>
    <row r="36" spans="1:8" x14ac:dyDescent="0.25">
      <c r="A36" s="256" t="s">
        <v>201</v>
      </c>
      <c r="B36" s="256"/>
      <c r="C36" s="142"/>
      <c r="D36" s="142"/>
      <c r="E36" s="142"/>
      <c r="F36" s="142"/>
      <c r="G36" s="142"/>
      <c r="H36" s="142"/>
    </row>
    <row r="37" spans="1:8" ht="15.75" thickBot="1" x14ac:dyDescent="0.3">
      <c r="A37" s="143"/>
      <c r="B37" s="142"/>
      <c r="C37" s="142"/>
      <c r="D37" s="142"/>
      <c r="E37" s="142"/>
      <c r="F37" s="142"/>
      <c r="G37" s="142"/>
      <c r="H37" s="142"/>
    </row>
    <row r="38" spans="1:8" ht="19.5" thickBot="1" x14ac:dyDescent="0.3">
      <c r="A38" s="243" t="s">
        <v>186</v>
      </c>
      <c r="B38" s="244"/>
      <c r="C38" s="244"/>
      <c r="D38" s="244"/>
      <c r="E38" s="244"/>
      <c r="F38" s="244"/>
      <c r="G38" s="244"/>
      <c r="H38" s="245"/>
    </row>
    <row r="39" spans="1:8" x14ac:dyDescent="0.25">
      <c r="A39" s="246" t="s">
        <v>203</v>
      </c>
      <c r="B39" s="247"/>
      <c r="C39" s="247"/>
      <c r="D39" s="247"/>
      <c r="E39" s="247"/>
      <c r="F39" s="247"/>
      <c r="G39" s="247"/>
      <c r="H39" s="248"/>
    </row>
    <row r="40" spans="1:8" ht="0.75" customHeight="1" x14ac:dyDescent="0.25">
      <c r="A40" s="249"/>
      <c r="B40" s="250"/>
      <c r="C40" s="250"/>
      <c r="D40" s="250"/>
      <c r="E40" s="250"/>
      <c r="F40" s="250"/>
      <c r="G40" s="250"/>
      <c r="H40" s="251"/>
    </row>
    <row r="41" spans="1:8" x14ac:dyDescent="0.25">
      <c r="A41" s="252" t="s">
        <v>188</v>
      </c>
      <c r="B41" s="253" t="s">
        <v>189</v>
      </c>
      <c r="C41" s="133" t="s">
        <v>190</v>
      </c>
      <c r="D41" s="253" t="s">
        <v>191</v>
      </c>
      <c r="E41" s="253"/>
      <c r="F41" s="253"/>
      <c r="G41" s="253" t="s">
        <v>192</v>
      </c>
      <c r="H41" s="254" t="s">
        <v>193</v>
      </c>
    </row>
    <row r="42" spans="1:8" ht="53.25" customHeight="1" x14ac:dyDescent="0.25">
      <c r="A42" s="252"/>
      <c r="B42" s="253"/>
      <c r="C42" s="133" t="s">
        <v>194</v>
      </c>
      <c r="D42" s="133" t="s">
        <v>153</v>
      </c>
      <c r="E42" s="133" t="s">
        <v>154</v>
      </c>
      <c r="F42" s="133" t="s">
        <v>23</v>
      </c>
      <c r="G42" s="253"/>
      <c r="H42" s="254"/>
    </row>
    <row r="43" spans="1:8" x14ac:dyDescent="0.25">
      <c r="A43" s="134" t="s">
        <v>195</v>
      </c>
      <c r="B43" s="144">
        <v>848</v>
      </c>
      <c r="C43" s="144">
        <v>75</v>
      </c>
      <c r="D43" s="144">
        <v>884</v>
      </c>
      <c r="E43" s="144">
        <v>920</v>
      </c>
      <c r="F43" s="144">
        <v>1804</v>
      </c>
      <c r="G43" s="144">
        <v>161</v>
      </c>
      <c r="H43" s="145">
        <v>0.97</v>
      </c>
    </row>
    <row r="44" spans="1:8" x14ac:dyDescent="0.25">
      <c r="A44" s="134" t="s">
        <v>27</v>
      </c>
      <c r="B44" s="144">
        <v>1695</v>
      </c>
      <c r="C44" s="144">
        <v>44</v>
      </c>
      <c r="D44" s="144">
        <v>2045</v>
      </c>
      <c r="E44" s="144">
        <v>2048</v>
      </c>
      <c r="F44" s="144">
        <v>4093</v>
      </c>
      <c r="G44" s="144">
        <v>106</v>
      </c>
      <c r="H44" s="145">
        <v>0.87</v>
      </c>
    </row>
    <row r="45" spans="1:8" x14ac:dyDescent="0.25">
      <c r="A45" s="134" t="s">
        <v>196</v>
      </c>
      <c r="B45" s="144">
        <v>128</v>
      </c>
      <c r="C45" s="144">
        <v>30</v>
      </c>
      <c r="D45" s="144">
        <v>773</v>
      </c>
      <c r="E45" s="144">
        <v>680</v>
      </c>
      <c r="F45" s="144">
        <v>1453</v>
      </c>
      <c r="G45" s="144">
        <v>336</v>
      </c>
      <c r="H45" s="145">
        <v>0.99</v>
      </c>
    </row>
    <row r="46" spans="1:8" x14ac:dyDescent="0.25">
      <c r="A46" s="134" t="s">
        <v>197</v>
      </c>
      <c r="B46" s="144">
        <v>347</v>
      </c>
      <c r="C46" s="144">
        <v>52</v>
      </c>
      <c r="D46" s="144">
        <v>439</v>
      </c>
      <c r="E46" s="144">
        <v>468</v>
      </c>
      <c r="F46" s="144">
        <v>907</v>
      </c>
      <c r="G46" s="144">
        <v>136</v>
      </c>
      <c r="H46" s="145">
        <v>0.98</v>
      </c>
    </row>
    <row r="47" spans="1:8" x14ac:dyDescent="0.25">
      <c r="A47" s="134" t="s">
        <v>198</v>
      </c>
      <c r="B47" s="144">
        <v>4124</v>
      </c>
      <c r="C47" s="144">
        <v>39</v>
      </c>
      <c r="D47" s="144">
        <v>8873</v>
      </c>
      <c r="E47" s="144">
        <v>7899</v>
      </c>
      <c r="F47" s="144">
        <v>16772</v>
      </c>
      <c r="G47" s="144">
        <v>160</v>
      </c>
      <c r="H47" s="145">
        <v>0.96</v>
      </c>
    </row>
    <row r="48" spans="1:8" x14ac:dyDescent="0.25">
      <c r="A48" s="134" t="s">
        <v>24</v>
      </c>
      <c r="B48" s="144">
        <v>29097</v>
      </c>
      <c r="C48" s="144">
        <v>93</v>
      </c>
      <c r="D48" s="144">
        <v>36439</v>
      </c>
      <c r="E48" s="144">
        <v>33864</v>
      </c>
      <c r="F48" s="144">
        <v>70303</v>
      </c>
      <c r="G48" s="144">
        <v>225</v>
      </c>
      <c r="H48" s="145">
        <v>0.95</v>
      </c>
    </row>
    <row r="49" spans="1:8" x14ac:dyDescent="0.25">
      <c r="A49" s="134" t="s">
        <v>25</v>
      </c>
      <c r="B49" s="144">
        <v>13177</v>
      </c>
      <c r="C49" s="144">
        <v>95</v>
      </c>
      <c r="D49" s="144">
        <v>15041</v>
      </c>
      <c r="E49" s="144">
        <v>12954</v>
      </c>
      <c r="F49" s="144">
        <v>27995</v>
      </c>
      <c r="G49" s="146">
        <v>202</v>
      </c>
      <c r="H49" s="145">
        <v>0.95</v>
      </c>
    </row>
    <row r="50" spans="1:8" ht="15.75" thickBot="1" x14ac:dyDescent="0.3">
      <c r="A50" s="137" t="s">
        <v>28</v>
      </c>
      <c r="B50" s="147">
        <f t="shared" ref="B50:G50" si="2">SUM(B43:B49)</f>
        <v>49416</v>
      </c>
      <c r="C50" s="147">
        <f t="shared" si="2"/>
        <v>428</v>
      </c>
      <c r="D50" s="147">
        <f t="shared" si="2"/>
        <v>64494</v>
      </c>
      <c r="E50" s="147">
        <f t="shared" si="2"/>
        <v>58833</v>
      </c>
      <c r="F50" s="147">
        <f t="shared" si="2"/>
        <v>123327</v>
      </c>
      <c r="G50" s="147">
        <f t="shared" si="2"/>
        <v>1326</v>
      </c>
      <c r="H50" s="145">
        <v>0.95</v>
      </c>
    </row>
    <row r="51" spans="1:8" ht="15.75" x14ac:dyDescent="0.25">
      <c r="A51" s="139"/>
      <c r="B51" s="148"/>
      <c r="C51" s="148"/>
      <c r="D51" s="148"/>
      <c r="E51" s="148"/>
      <c r="F51" s="148"/>
      <c r="G51" s="148"/>
      <c r="H51" s="149"/>
    </row>
    <row r="52" spans="1:8" x14ac:dyDescent="0.25">
      <c r="A52" s="255" t="s">
        <v>199</v>
      </c>
      <c r="B52" s="255"/>
      <c r="C52" s="255"/>
      <c r="D52" s="255"/>
      <c r="E52" s="255"/>
      <c r="F52" s="255"/>
      <c r="G52" s="255"/>
      <c r="H52" s="255"/>
    </row>
    <row r="53" spans="1:8" x14ac:dyDescent="0.25">
      <c r="A53" s="256" t="s">
        <v>200</v>
      </c>
      <c r="B53" s="256"/>
      <c r="C53" s="256"/>
      <c r="D53" s="256"/>
      <c r="E53" s="256"/>
      <c r="F53" s="256"/>
      <c r="G53" s="256"/>
      <c r="H53" s="256"/>
    </row>
    <row r="54" spans="1:8" x14ac:dyDescent="0.25">
      <c r="A54" s="256" t="s">
        <v>201</v>
      </c>
      <c r="B54" s="256"/>
      <c r="C54" s="142"/>
      <c r="D54" s="142"/>
      <c r="E54" s="142"/>
      <c r="F54" s="142"/>
      <c r="G54" s="142"/>
      <c r="H54" s="142"/>
    </row>
    <row r="55" spans="1:8" ht="15.75" thickBot="1" x14ac:dyDescent="0.3"/>
    <row r="56" spans="1:8" ht="19.5" thickBot="1" x14ac:dyDescent="0.3">
      <c r="A56" s="243" t="s">
        <v>186</v>
      </c>
      <c r="B56" s="244"/>
      <c r="C56" s="244"/>
      <c r="D56" s="244"/>
      <c r="E56" s="244"/>
      <c r="F56" s="244"/>
      <c r="G56" s="244"/>
      <c r="H56" s="245"/>
    </row>
    <row r="57" spans="1:8" x14ac:dyDescent="0.25">
      <c r="A57" s="246" t="s">
        <v>204</v>
      </c>
      <c r="B57" s="247"/>
      <c r="C57" s="247"/>
      <c r="D57" s="247"/>
      <c r="E57" s="247"/>
      <c r="F57" s="247"/>
      <c r="G57" s="247"/>
      <c r="H57" s="248"/>
    </row>
    <row r="58" spans="1:8" hidden="1" x14ac:dyDescent="0.25">
      <c r="A58" s="249"/>
      <c r="B58" s="250"/>
      <c r="C58" s="250"/>
      <c r="D58" s="250"/>
      <c r="E58" s="250"/>
      <c r="F58" s="250"/>
      <c r="G58" s="250"/>
      <c r="H58" s="251"/>
    </row>
    <row r="59" spans="1:8" x14ac:dyDescent="0.25">
      <c r="A59" s="252" t="s">
        <v>188</v>
      </c>
      <c r="B59" s="253" t="s">
        <v>189</v>
      </c>
      <c r="C59" s="133" t="s">
        <v>190</v>
      </c>
      <c r="D59" s="253" t="s">
        <v>191</v>
      </c>
      <c r="E59" s="253"/>
      <c r="F59" s="253"/>
      <c r="G59" s="253" t="s">
        <v>192</v>
      </c>
      <c r="H59" s="254" t="s">
        <v>193</v>
      </c>
    </row>
    <row r="60" spans="1:8" ht="54" customHeight="1" x14ac:dyDescent="0.25">
      <c r="A60" s="252"/>
      <c r="B60" s="253"/>
      <c r="C60" s="133" t="s">
        <v>194</v>
      </c>
      <c r="D60" s="133" t="s">
        <v>153</v>
      </c>
      <c r="E60" s="133" t="s">
        <v>154</v>
      </c>
      <c r="F60" s="133" t="s">
        <v>23</v>
      </c>
      <c r="G60" s="253"/>
      <c r="H60" s="254"/>
    </row>
    <row r="61" spans="1:8" x14ac:dyDescent="0.25">
      <c r="A61" s="134" t="s">
        <v>195</v>
      </c>
      <c r="B61" s="144">
        <v>706</v>
      </c>
      <c r="C61" s="144">
        <v>63</v>
      </c>
      <c r="D61" s="144">
        <v>751</v>
      </c>
      <c r="E61" s="144">
        <v>709</v>
      </c>
      <c r="F61" s="144">
        <f>(D61+E61)</f>
        <v>1460</v>
      </c>
      <c r="G61" s="144">
        <v>130</v>
      </c>
      <c r="H61" s="145">
        <v>0.97</v>
      </c>
    </row>
    <row r="62" spans="1:8" x14ac:dyDescent="0.25">
      <c r="A62" s="134" t="s">
        <v>27</v>
      </c>
      <c r="B62" s="144">
        <v>1566</v>
      </c>
      <c r="C62" s="144">
        <v>40</v>
      </c>
      <c r="D62" s="144">
        <v>1648</v>
      </c>
      <c r="E62" s="144">
        <v>1780</v>
      </c>
      <c r="F62" s="144">
        <f t="shared" ref="F62:F67" si="3">(D62+E62)</f>
        <v>3428</v>
      </c>
      <c r="G62" s="144">
        <v>88</v>
      </c>
      <c r="H62" s="145">
        <v>0.87</v>
      </c>
    </row>
    <row r="63" spans="1:8" x14ac:dyDescent="0.25">
      <c r="A63" s="134" t="s">
        <v>196</v>
      </c>
      <c r="B63" s="144">
        <v>114</v>
      </c>
      <c r="C63" s="144">
        <v>26</v>
      </c>
      <c r="D63" s="144">
        <v>650</v>
      </c>
      <c r="E63" s="144">
        <v>526</v>
      </c>
      <c r="F63" s="144">
        <f t="shared" si="3"/>
        <v>1176</v>
      </c>
      <c r="G63" s="144">
        <v>272</v>
      </c>
      <c r="H63" s="145">
        <v>0.99</v>
      </c>
    </row>
    <row r="64" spans="1:8" x14ac:dyDescent="0.25">
      <c r="A64" s="134" t="s">
        <v>197</v>
      </c>
      <c r="B64" s="144">
        <v>299</v>
      </c>
      <c r="C64" s="144">
        <v>45</v>
      </c>
      <c r="D64" s="144">
        <v>409</v>
      </c>
      <c r="E64" s="144">
        <v>401</v>
      </c>
      <c r="F64" s="144">
        <f t="shared" si="3"/>
        <v>810</v>
      </c>
      <c r="G64" s="144">
        <v>121</v>
      </c>
      <c r="H64" s="145">
        <v>0.98</v>
      </c>
    </row>
    <row r="65" spans="1:8" x14ac:dyDescent="0.25">
      <c r="A65" s="134" t="s">
        <v>198</v>
      </c>
      <c r="B65" s="144">
        <v>3529</v>
      </c>
      <c r="C65" s="144">
        <v>34</v>
      </c>
      <c r="D65" s="144">
        <v>6881</v>
      </c>
      <c r="E65" s="144">
        <v>6444</v>
      </c>
      <c r="F65" s="144">
        <f t="shared" si="3"/>
        <v>13325</v>
      </c>
      <c r="G65" s="144">
        <v>127</v>
      </c>
      <c r="H65" s="145">
        <v>0.96</v>
      </c>
    </row>
    <row r="66" spans="1:8" x14ac:dyDescent="0.25">
      <c r="A66" s="134" t="s">
        <v>24</v>
      </c>
      <c r="B66" s="144">
        <v>26770</v>
      </c>
      <c r="C66" s="144">
        <v>86</v>
      </c>
      <c r="D66" s="144">
        <v>33459</v>
      </c>
      <c r="E66" s="144">
        <v>31516</v>
      </c>
      <c r="F66" s="144">
        <f t="shared" si="3"/>
        <v>64975</v>
      </c>
      <c r="G66" s="144">
        <v>208</v>
      </c>
      <c r="H66" s="145">
        <v>0.95</v>
      </c>
    </row>
    <row r="67" spans="1:8" x14ac:dyDescent="0.25">
      <c r="A67" s="134" t="s">
        <v>25</v>
      </c>
      <c r="B67" s="144">
        <v>12947</v>
      </c>
      <c r="C67" s="144">
        <v>93</v>
      </c>
      <c r="D67" s="144">
        <v>15281</v>
      </c>
      <c r="E67" s="144">
        <v>13814</v>
      </c>
      <c r="F67" s="144">
        <f t="shared" si="3"/>
        <v>29095</v>
      </c>
      <c r="G67" s="146">
        <v>210</v>
      </c>
      <c r="H67" s="145">
        <v>0.95</v>
      </c>
    </row>
    <row r="68" spans="1:8" ht="15.75" thickBot="1" x14ac:dyDescent="0.3">
      <c r="A68" s="137" t="s">
        <v>28</v>
      </c>
      <c r="B68" s="147">
        <f t="shared" ref="B68:G68" si="4">SUM(B61:B67)</f>
        <v>45931</v>
      </c>
      <c r="C68" s="147">
        <f t="shared" si="4"/>
        <v>387</v>
      </c>
      <c r="D68" s="147">
        <f t="shared" si="4"/>
        <v>59079</v>
      </c>
      <c r="E68" s="147">
        <f t="shared" si="4"/>
        <v>55190</v>
      </c>
      <c r="F68" s="147">
        <f t="shared" si="4"/>
        <v>114269</v>
      </c>
      <c r="G68" s="147">
        <f t="shared" si="4"/>
        <v>1156</v>
      </c>
      <c r="H68" s="145">
        <v>0.95</v>
      </c>
    </row>
    <row r="69" spans="1:8" ht="15.75" x14ac:dyDescent="0.25">
      <c r="A69" s="139"/>
      <c r="B69" s="148"/>
      <c r="C69" s="148"/>
      <c r="D69" s="148"/>
      <c r="E69" s="148"/>
      <c r="F69" s="148"/>
      <c r="G69" s="148"/>
      <c r="H69" s="149"/>
    </row>
    <row r="70" spans="1:8" x14ac:dyDescent="0.25">
      <c r="A70" s="255" t="s">
        <v>199</v>
      </c>
      <c r="B70" s="255"/>
      <c r="C70" s="255"/>
      <c r="D70" s="255"/>
      <c r="E70" s="255"/>
      <c r="F70" s="255"/>
      <c r="G70" s="255"/>
      <c r="H70" s="255"/>
    </row>
    <row r="71" spans="1:8" x14ac:dyDescent="0.25">
      <c r="A71" s="256" t="s">
        <v>200</v>
      </c>
      <c r="B71" s="256"/>
      <c r="C71" s="256"/>
      <c r="D71" s="256"/>
      <c r="E71" s="256"/>
      <c r="F71" s="256"/>
      <c r="G71" s="256"/>
      <c r="H71" s="256"/>
    </row>
    <row r="72" spans="1:8" x14ac:dyDescent="0.25">
      <c r="A72" s="256" t="s">
        <v>201</v>
      </c>
      <c r="B72" s="256"/>
      <c r="C72" s="142"/>
      <c r="D72" s="142"/>
      <c r="E72" s="142"/>
      <c r="F72" s="142"/>
      <c r="G72" s="142"/>
      <c r="H72" s="142"/>
    </row>
  </sheetData>
  <mergeCells count="40">
    <mergeCell ref="A70:H70"/>
    <mergeCell ref="A71:H71"/>
    <mergeCell ref="A72:B72"/>
    <mergeCell ref="A52:H52"/>
    <mergeCell ref="A53:H53"/>
    <mergeCell ref="A54:B54"/>
    <mergeCell ref="A56:H56"/>
    <mergeCell ref="A57:H58"/>
    <mergeCell ref="A59:A60"/>
    <mergeCell ref="B59:B60"/>
    <mergeCell ref="D59:F59"/>
    <mergeCell ref="G59:G60"/>
    <mergeCell ref="H59:H60"/>
    <mergeCell ref="A34:H34"/>
    <mergeCell ref="A35:H35"/>
    <mergeCell ref="A36:B36"/>
    <mergeCell ref="A38:H38"/>
    <mergeCell ref="A39:H40"/>
    <mergeCell ref="A41:A42"/>
    <mergeCell ref="B41:B42"/>
    <mergeCell ref="D41:F41"/>
    <mergeCell ref="G41:G42"/>
    <mergeCell ref="H41:H42"/>
    <mergeCell ref="A15:H15"/>
    <mergeCell ref="A16:H16"/>
    <mergeCell ref="A17:B17"/>
    <mergeCell ref="A20:H20"/>
    <mergeCell ref="A21:H22"/>
    <mergeCell ref="A23:A24"/>
    <mergeCell ref="B23:B24"/>
    <mergeCell ref="D23:F23"/>
    <mergeCell ref="G23:G24"/>
    <mergeCell ref="H23:H24"/>
    <mergeCell ref="A1:H1"/>
    <mergeCell ref="A2:H3"/>
    <mergeCell ref="A4:A5"/>
    <mergeCell ref="B4:B5"/>
    <mergeCell ref="D4:F4"/>
    <mergeCell ref="G4:G5"/>
    <mergeCell ref="H4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topLeftCell="A58" workbookViewId="0">
      <selection activeCell="E36" sqref="E36"/>
    </sheetView>
  </sheetViews>
  <sheetFormatPr defaultRowHeight="15" x14ac:dyDescent="0.25"/>
  <cols>
    <col min="1" max="1" width="54.85546875" customWidth="1"/>
  </cols>
  <sheetData>
    <row r="1" spans="1:13" x14ac:dyDescent="0.25">
      <c r="A1" s="232" t="s">
        <v>170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 ht="15.75" thickBot="1" x14ac:dyDescent="0.3">
      <c r="A2" s="235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x14ac:dyDescent="0.25">
      <c r="A3" s="257" t="s">
        <v>79</v>
      </c>
      <c r="B3" s="258" t="s">
        <v>11</v>
      </c>
      <c r="C3" s="259"/>
      <c r="D3" s="258" t="s">
        <v>47</v>
      </c>
      <c r="E3" s="259"/>
      <c r="F3" s="258" t="s">
        <v>80</v>
      </c>
      <c r="G3" s="259"/>
      <c r="H3" s="258" t="s">
        <v>14</v>
      </c>
      <c r="I3" s="259"/>
      <c r="J3" s="258" t="s">
        <v>15</v>
      </c>
      <c r="K3" s="259"/>
      <c r="L3" s="260" t="s">
        <v>16</v>
      </c>
      <c r="M3" s="261"/>
    </row>
    <row r="4" spans="1:13" x14ac:dyDescent="0.25">
      <c r="A4" s="228"/>
      <c r="B4" s="110" t="s">
        <v>81</v>
      </c>
      <c r="C4" s="110" t="s">
        <v>82</v>
      </c>
      <c r="D4" s="110" t="s">
        <v>81</v>
      </c>
      <c r="E4" s="110" t="s">
        <v>82</v>
      </c>
      <c r="F4" s="110" t="s">
        <v>81</v>
      </c>
      <c r="G4" s="110" t="s">
        <v>82</v>
      </c>
      <c r="H4" s="110" t="s">
        <v>81</v>
      </c>
      <c r="I4" s="110" t="s">
        <v>82</v>
      </c>
      <c r="J4" s="110" t="s">
        <v>81</v>
      </c>
      <c r="K4" s="110" t="s">
        <v>82</v>
      </c>
      <c r="L4" s="110" t="s">
        <v>81</v>
      </c>
      <c r="M4" s="60" t="s">
        <v>82</v>
      </c>
    </row>
    <row r="5" spans="1:13" x14ac:dyDescent="0.25">
      <c r="A5" s="61" t="s">
        <v>83</v>
      </c>
      <c r="B5" s="62">
        <f>B6+B11+B19+B27</f>
        <v>1817</v>
      </c>
      <c r="C5" s="62">
        <f>C6+C11+C19+C27+C38</f>
        <v>259501</v>
      </c>
      <c r="D5" s="62">
        <f t="shared" ref="D5:M5" si="0">D6+D11+D19+D27+D38</f>
        <v>2490</v>
      </c>
      <c r="E5" s="62">
        <f t="shared" si="0"/>
        <v>266385</v>
      </c>
      <c r="F5" s="62">
        <f t="shared" si="0"/>
        <v>2611</v>
      </c>
      <c r="G5" s="62">
        <f t="shared" si="0"/>
        <v>165962</v>
      </c>
      <c r="H5" s="62">
        <f t="shared" si="0"/>
        <v>2741</v>
      </c>
      <c r="I5" s="62">
        <f t="shared" si="0"/>
        <v>289822</v>
      </c>
      <c r="J5" s="62">
        <f t="shared" si="0"/>
        <v>2521</v>
      </c>
      <c r="K5" s="62">
        <f t="shared" si="0"/>
        <v>213016</v>
      </c>
      <c r="L5" s="62">
        <f t="shared" si="0"/>
        <v>1479</v>
      </c>
      <c r="M5" s="63">
        <f t="shared" si="0"/>
        <v>155270</v>
      </c>
    </row>
    <row r="6" spans="1:13" x14ac:dyDescent="0.25">
      <c r="A6" s="64" t="s">
        <v>84</v>
      </c>
      <c r="B6" s="65">
        <f>SUM(B7:B10)</f>
        <v>380</v>
      </c>
      <c r="C6" s="65">
        <f t="shared" ref="C6:M6" si="1">SUM(C7:C10)</f>
        <v>67405</v>
      </c>
      <c r="D6" s="65">
        <f t="shared" si="1"/>
        <v>599</v>
      </c>
      <c r="E6" s="65">
        <f t="shared" si="1"/>
        <v>81220</v>
      </c>
      <c r="F6" s="65">
        <f t="shared" si="1"/>
        <v>506</v>
      </c>
      <c r="G6" s="65">
        <f t="shared" si="1"/>
        <v>61460</v>
      </c>
      <c r="H6" s="65">
        <f t="shared" si="1"/>
        <v>519</v>
      </c>
      <c r="I6" s="65">
        <f t="shared" si="1"/>
        <v>40380</v>
      </c>
      <c r="J6" s="65">
        <f t="shared" si="1"/>
        <v>612</v>
      </c>
      <c r="K6" s="65">
        <f t="shared" si="1"/>
        <v>45312</v>
      </c>
      <c r="L6" s="65">
        <f t="shared" si="1"/>
        <v>380</v>
      </c>
      <c r="M6" s="66">
        <f t="shared" si="1"/>
        <v>55582</v>
      </c>
    </row>
    <row r="7" spans="1:13" x14ac:dyDescent="0.25">
      <c r="A7" s="67" t="s">
        <v>85</v>
      </c>
      <c r="B7" s="68">
        <v>50</v>
      </c>
      <c r="C7" s="68">
        <v>11487</v>
      </c>
      <c r="D7" s="68">
        <v>50</v>
      </c>
      <c r="E7" s="68">
        <v>13224</v>
      </c>
      <c r="F7" s="68">
        <v>34</v>
      </c>
      <c r="G7" s="68">
        <v>12252</v>
      </c>
      <c r="H7" s="68">
        <v>49</v>
      </c>
      <c r="I7" s="68">
        <v>12798</v>
      </c>
      <c r="J7" s="68">
        <v>29</v>
      </c>
      <c r="K7" s="68">
        <v>8909</v>
      </c>
      <c r="L7" s="68">
        <v>54</v>
      </c>
      <c r="M7" s="69">
        <v>11271</v>
      </c>
    </row>
    <row r="8" spans="1:13" x14ac:dyDescent="0.25">
      <c r="A8" s="70" t="s">
        <v>86</v>
      </c>
      <c r="B8" s="68">
        <v>176</v>
      </c>
      <c r="C8" s="68">
        <v>21137</v>
      </c>
      <c r="D8" s="68">
        <v>269</v>
      </c>
      <c r="E8" s="68">
        <v>28821</v>
      </c>
      <c r="F8" s="68">
        <v>253</v>
      </c>
      <c r="G8" s="68">
        <v>20543</v>
      </c>
      <c r="H8" s="68">
        <v>214</v>
      </c>
      <c r="I8" s="68">
        <v>9834</v>
      </c>
      <c r="J8" s="68">
        <v>301</v>
      </c>
      <c r="K8" s="68">
        <v>12754</v>
      </c>
      <c r="L8" s="68">
        <v>215</v>
      </c>
      <c r="M8" s="69">
        <v>18909</v>
      </c>
    </row>
    <row r="9" spans="1:13" x14ac:dyDescent="0.25">
      <c r="A9" s="70" t="s">
        <v>87</v>
      </c>
      <c r="B9" s="68">
        <v>145</v>
      </c>
      <c r="C9" s="68">
        <v>34105</v>
      </c>
      <c r="D9" s="68">
        <v>242</v>
      </c>
      <c r="E9" s="68">
        <v>38449</v>
      </c>
      <c r="F9" s="68">
        <v>160</v>
      </c>
      <c r="G9" s="68">
        <v>27962</v>
      </c>
      <c r="H9" s="68">
        <v>215</v>
      </c>
      <c r="I9" s="68">
        <v>17544</v>
      </c>
      <c r="J9" s="68">
        <v>215</v>
      </c>
      <c r="K9" s="68">
        <v>23026</v>
      </c>
      <c r="L9" s="68">
        <v>74</v>
      </c>
      <c r="M9" s="69">
        <v>25183</v>
      </c>
    </row>
    <row r="10" spans="1:13" x14ac:dyDescent="0.25">
      <c r="A10" s="70" t="s">
        <v>88</v>
      </c>
      <c r="B10" s="68">
        <v>9</v>
      </c>
      <c r="C10" s="68">
        <v>676</v>
      </c>
      <c r="D10" s="68">
        <v>38</v>
      </c>
      <c r="E10" s="68">
        <v>726</v>
      </c>
      <c r="F10" s="68">
        <v>59</v>
      </c>
      <c r="G10" s="68">
        <v>703</v>
      </c>
      <c r="H10" s="68">
        <v>41</v>
      </c>
      <c r="I10" s="68">
        <v>204</v>
      </c>
      <c r="J10" s="68">
        <v>67</v>
      </c>
      <c r="K10" s="68">
        <v>623</v>
      </c>
      <c r="L10" s="68">
        <v>37</v>
      </c>
      <c r="M10" s="69">
        <v>219</v>
      </c>
    </row>
    <row r="11" spans="1:13" x14ac:dyDescent="0.25">
      <c r="A11" s="64" t="s">
        <v>89</v>
      </c>
      <c r="B11" s="65">
        <f>SUM(B12:B18)</f>
        <v>1010</v>
      </c>
      <c r="C11" s="65">
        <f t="shared" ref="C11:M11" si="2">SUM(C12:C18)</f>
        <v>165594</v>
      </c>
      <c r="D11" s="65">
        <f t="shared" si="2"/>
        <v>1304</v>
      </c>
      <c r="E11" s="65">
        <f t="shared" si="2"/>
        <v>159437</v>
      </c>
      <c r="F11" s="65">
        <f t="shared" si="2"/>
        <v>1477</v>
      </c>
      <c r="G11" s="65">
        <f t="shared" si="2"/>
        <v>74859</v>
      </c>
      <c r="H11" s="65">
        <f t="shared" si="2"/>
        <v>1744</v>
      </c>
      <c r="I11" s="65">
        <f t="shared" si="2"/>
        <v>205648</v>
      </c>
      <c r="J11" s="65">
        <f t="shared" si="2"/>
        <v>1250</v>
      </c>
      <c r="K11" s="65">
        <f t="shared" si="2"/>
        <v>142415</v>
      </c>
      <c r="L11" s="65">
        <f t="shared" si="2"/>
        <v>685</v>
      </c>
      <c r="M11" s="66">
        <f t="shared" si="2"/>
        <v>72160</v>
      </c>
    </row>
    <row r="12" spans="1:13" x14ac:dyDescent="0.25">
      <c r="A12" s="70" t="s">
        <v>90</v>
      </c>
      <c r="B12" s="71">
        <v>304</v>
      </c>
      <c r="C12" s="71">
        <v>17491</v>
      </c>
      <c r="D12" s="68">
        <v>419</v>
      </c>
      <c r="E12" s="68">
        <v>16217</v>
      </c>
      <c r="F12" s="68">
        <v>421</v>
      </c>
      <c r="G12" s="68">
        <v>13271</v>
      </c>
      <c r="H12" s="68">
        <v>429</v>
      </c>
      <c r="I12" s="68">
        <v>15798</v>
      </c>
      <c r="J12" s="68">
        <v>225</v>
      </c>
      <c r="K12" s="68">
        <v>12192</v>
      </c>
      <c r="L12" s="68">
        <v>214</v>
      </c>
      <c r="M12" s="69">
        <v>12889</v>
      </c>
    </row>
    <row r="13" spans="1:13" x14ac:dyDescent="0.25">
      <c r="A13" s="72" t="s">
        <v>91</v>
      </c>
      <c r="B13" s="71">
        <v>1</v>
      </c>
      <c r="C13" s="71">
        <v>3430</v>
      </c>
      <c r="D13" s="68">
        <v>5</v>
      </c>
      <c r="E13" s="68">
        <v>3050</v>
      </c>
      <c r="F13" s="68">
        <v>4</v>
      </c>
      <c r="G13" s="68">
        <v>3370</v>
      </c>
      <c r="H13" s="68">
        <v>2</v>
      </c>
      <c r="I13" s="68">
        <v>3290</v>
      </c>
      <c r="J13" s="68">
        <v>1</v>
      </c>
      <c r="K13" s="68">
        <v>2710</v>
      </c>
      <c r="L13" s="73">
        <v>1</v>
      </c>
      <c r="M13" s="74">
        <v>1510</v>
      </c>
    </row>
    <row r="14" spans="1:13" x14ac:dyDescent="0.25">
      <c r="A14" s="72" t="s">
        <v>92</v>
      </c>
      <c r="B14" s="71">
        <v>310</v>
      </c>
      <c r="C14" s="71">
        <v>109001</v>
      </c>
      <c r="D14" s="68">
        <v>241</v>
      </c>
      <c r="E14" s="68">
        <v>98654</v>
      </c>
      <c r="F14" s="68">
        <v>325</v>
      </c>
      <c r="G14" s="68">
        <v>16552</v>
      </c>
      <c r="H14" s="68">
        <v>78</v>
      </c>
      <c r="I14" s="68">
        <v>118220</v>
      </c>
      <c r="J14" s="68">
        <v>423</v>
      </c>
      <c r="K14" s="68">
        <v>83454</v>
      </c>
      <c r="L14" s="73"/>
      <c r="M14" s="74"/>
    </row>
    <row r="15" spans="1:13" x14ac:dyDescent="0.25">
      <c r="A15" s="72" t="s">
        <v>93</v>
      </c>
      <c r="B15" s="68">
        <v>197</v>
      </c>
      <c r="C15" s="68">
        <v>11496</v>
      </c>
      <c r="D15" s="68">
        <v>340</v>
      </c>
      <c r="E15" s="68">
        <v>13400</v>
      </c>
      <c r="F15" s="68">
        <v>350</v>
      </c>
      <c r="G15" s="68">
        <v>14326</v>
      </c>
      <c r="H15" s="68">
        <v>867</v>
      </c>
      <c r="I15" s="68">
        <v>19174</v>
      </c>
      <c r="J15" s="68">
        <v>384</v>
      </c>
      <c r="K15" s="75">
        <v>20640</v>
      </c>
      <c r="L15" s="68">
        <v>319</v>
      </c>
      <c r="M15" s="69">
        <v>30254</v>
      </c>
    </row>
    <row r="16" spans="1:13" x14ac:dyDescent="0.25">
      <c r="A16" s="72" t="s">
        <v>94</v>
      </c>
      <c r="B16" s="68">
        <v>59</v>
      </c>
      <c r="C16" s="68">
        <v>10652</v>
      </c>
      <c r="D16" s="68">
        <v>98</v>
      </c>
      <c r="E16" s="68">
        <v>11419</v>
      </c>
      <c r="F16" s="68">
        <v>141</v>
      </c>
      <c r="G16" s="68">
        <v>10413</v>
      </c>
      <c r="H16" s="68">
        <v>98</v>
      </c>
      <c r="I16" s="68">
        <v>20279</v>
      </c>
      <c r="J16" s="68">
        <v>63</v>
      </c>
      <c r="K16" s="68">
        <v>9480</v>
      </c>
      <c r="L16" s="73">
        <v>20</v>
      </c>
      <c r="M16" s="74">
        <v>12805</v>
      </c>
    </row>
    <row r="17" spans="1:13" x14ac:dyDescent="0.25">
      <c r="A17" s="72" t="s">
        <v>95</v>
      </c>
      <c r="B17" s="71">
        <v>2</v>
      </c>
      <c r="C17" s="71">
        <v>850</v>
      </c>
      <c r="D17" s="68">
        <v>1</v>
      </c>
      <c r="E17" s="68">
        <v>975</v>
      </c>
      <c r="F17" s="68">
        <v>0</v>
      </c>
      <c r="G17" s="68">
        <v>1220</v>
      </c>
      <c r="H17" s="68">
        <v>0</v>
      </c>
      <c r="I17" s="68">
        <v>1826</v>
      </c>
      <c r="J17" s="68">
        <v>0</v>
      </c>
      <c r="K17" s="68">
        <v>1755</v>
      </c>
      <c r="L17" s="73">
        <v>0</v>
      </c>
      <c r="M17" s="74">
        <v>810</v>
      </c>
    </row>
    <row r="18" spans="1:13" x14ac:dyDescent="0.25">
      <c r="A18" s="72" t="s">
        <v>96</v>
      </c>
      <c r="B18" s="71">
        <v>137</v>
      </c>
      <c r="C18" s="71">
        <v>12674</v>
      </c>
      <c r="D18" s="68">
        <v>200</v>
      </c>
      <c r="E18" s="68">
        <v>15722</v>
      </c>
      <c r="F18" s="68">
        <v>236</v>
      </c>
      <c r="G18" s="68">
        <v>15707</v>
      </c>
      <c r="H18" s="68">
        <v>270</v>
      </c>
      <c r="I18" s="68">
        <v>27061</v>
      </c>
      <c r="J18" s="68">
        <v>154</v>
      </c>
      <c r="K18" s="68">
        <v>12184</v>
      </c>
      <c r="L18" s="68">
        <v>131</v>
      </c>
      <c r="M18" s="69">
        <v>13892</v>
      </c>
    </row>
    <row r="19" spans="1:13" x14ac:dyDescent="0.25">
      <c r="A19" s="64" t="s">
        <v>97</v>
      </c>
      <c r="B19" s="65">
        <f>SUM(B20:B26)</f>
        <v>386</v>
      </c>
      <c r="C19" s="65">
        <f t="shared" ref="C19:M19" si="3">SUM(C20:C26)</f>
        <v>22818</v>
      </c>
      <c r="D19" s="65">
        <f t="shared" si="3"/>
        <v>544</v>
      </c>
      <c r="E19" s="65">
        <f t="shared" si="3"/>
        <v>23137</v>
      </c>
      <c r="F19" s="65">
        <f t="shared" si="3"/>
        <v>518</v>
      </c>
      <c r="G19" s="65">
        <f t="shared" si="3"/>
        <v>26394</v>
      </c>
      <c r="H19" s="65">
        <f t="shared" si="3"/>
        <v>326</v>
      </c>
      <c r="I19" s="65">
        <f t="shared" si="3"/>
        <v>36643</v>
      </c>
      <c r="J19" s="65">
        <f t="shared" si="3"/>
        <v>316</v>
      </c>
      <c r="K19" s="65">
        <f t="shared" si="3"/>
        <v>20368</v>
      </c>
      <c r="L19" s="65">
        <f t="shared" si="3"/>
        <v>319</v>
      </c>
      <c r="M19" s="66">
        <f t="shared" si="3"/>
        <v>22749</v>
      </c>
    </row>
    <row r="20" spans="1:13" x14ac:dyDescent="0.25">
      <c r="A20" s="72" t="s">
        <v>98</v>
      </c>
      <c r="B20" s="68">
        <v>31</v>
      </c>
      <c r="C20" s="68">
        <f>544+578+828+55+10</f>
        <v>2015</v>
      </c>
      <c r="D20" s="68">
        <v>29</v>
      </c>
      <c r="E20" s="68">
        <f>612+608+1152+133+15</f>
        <v>2520</v>
      </c>
      <c r="F20" s="68">
        <v>24</v>
      </c>
      <c r="G20" s="68">
        <f>600+222+955+66</f>
        <v>1843</v>
      </c>
      <c r="H20" s="68">
        <v>12</v>
      </c>
      <c r="I20" s="68">
        <f>227+134</f>
        <v>361</v>
      </c>
      <c r="J20" s="68">
        <v>44</v>
      </c>
      <c r="K20" s="68">
        <f>238+305+349+34+0</f>
        <v>926</v>
      </c>
      <c r="L20" s="73"/>
      <c r="M20" s="74"/>
    </row>
    <row r="21" spans="1:13" x14ac:dyDescent="0.25">
      <c r="A21" s="72" t="s">
        <v>99</v>
      </c>
      <c r="B21" s="68">
        <v>6</v>
      </c>
      <c r="C21" s="68">
        <v>1150</v>
      </c>
      <c r="D21" s="68">
        <v>2</v>
      </c>
      <c r="E21" s="68">
        <v>1190</v>
      </c>
      <c r="F21" s="68">
        <v>4</v>
      </c>
      <c r="G21" s="68">
        <v>1198</v>
      </c>
      <c r="H21" s="68">
        <v>2</v>
      </c>
      <c r="I21" s="68">
        <v>850</v>
      </c>
      <c r="J21" s="68">
        <v>1</v>
      </c>
      <c r="K21" s="68">
        <v>1045</v>
      </c>
      <c r="L21" s="68">
        <v>2</v>
      </c>
      <c r="M21" s="69">
        <v>1330</v>
      </c>
    </row>
    <row r="22" spans="1:13" x14ac:dyDescent="0.25">
      <c r="A22" s="72" t="s">
        <v>100</v>
      </c>
      <c r="B22" s="68">
        <v>7</v>
      </c>
      <c r="C22" s="68">
        <f>885+170</f>
        <v>1055</v>
      </c>
      <c r="D22" s="68">
        <v>17</v>
      </c>
      <c r="E22" s="68">
        <f>905+310</f>
        <v>1215</v>
      </c>
      <c r="F22" s="68">
        <v>70</v>
      </c>
      <c r="G22" s="68">
        <f>805+270</f>
        <v>1075</v>
      </c>
      <c r="H22" s="68">
        <v>42</v>
      </c>
      <c r="I22" s="68">
        <f>2640+390</f>
        <v>3030</v>
      </c>
      <c r="J22" s="68">
        <v>17</v>
      </c>
      <c r="K22" s="68">
        <f>1290+470</f>
        <v>1760</v>
      </c>
      <c r="L22" s="68">
        <v>4</v>
      </c>
      <c r="M22" s="69">
        <f>2980</f>
        <v>2980</v>
      </c>
    </row>
    <row r="23" spans="1:13" x14ac:dyDescent="0.25">
      <c r="A23" s="72" t="s">
        <v>101</v>
      </c>
      <c r="B23" s="68">
        <v>32</v>
      </c>
      <c r="C23" s="68">
        <v>10076</v>
      </c>
      <c r="D23" s="68">
        <v>28</v>
      </c>
      <c r="E23" s="68">
        <v>9870</v>
      </c>
      <c r="F23" s="68">
        <v>58</v>
      </c>
      <c r="G23" s="68">
        <v>9257</v>
      </c>
      <c r="H23" s="68">
        <v>54</v>
      </c>
      <c r="I23" s="68">
        <v>20730</v>
      </c>
      <c r="J23" s="68">
        <v>8</v>
      </c>
      <c r="K23" s="68">
        <v>8980</v>
      </c>
      <c r="L23" s="68">
        <v>4</v>
      </c>
      <c r="M23" s="69">
        <v>8183</v>
      </c>
    </row>
    <row r="24" spans="1:13" x14ac:dyDescent="0.25">
      <c r="A24" s="72" t="s">
        <v>102</v>
      </c>
      <c r="B24" s="68">
        <v>10</v>
      </c>
      <c r="C24" s="68">
        <f>2018+2217+205+34</f>
        <v>4474</v>
      </c>
      <c r="D24" s="68">
        <v>1</v>
      </c>
      <c r="E24" s="68">
        <f>1810+1650+208+35</f>
        <v>3703</v>
      </c>
      <c r="F24" s="68">
        <v>1</v>
      </c>
      <c r="G24" s="68">
        <f>3135+3515+207+27</f>
        <v>6884</v>
      </c>
      <c r="H24" s="68">
        <v>0</v>
      </c>
      <c r="I24" s="68">
        <f>3985+4682+138+19</f>
        <v>8824</v>
      </c>
      <c r="J24" s="68">
        <v>0</v>
      </c>
      <c r="K24" s="68">
        <f>1922+2148+109+12</f>
        <v>4191</v>
      </c>
      <c r="L24" s="68">
        <v>0</v>
      </c>
      <c r="M24" s="69">
        <f>2976+2529+89+8</f>
        <v>5602</v>
      </c>
    </row>
    <row r="25" spans="1:13" x14ac:dyDescent="0.25">
      <c r="A25" s="72" t="s">
        <v>103</v>
      </c>
      <c r="B25" s="68">
        <v>8</v>
      </c>
      <c r="C25" s="68">
        <v>910</v>
      </c>
      <c r="D25" s="68">
        <v>2</v>
      </c>
      <c r="E25" s="68">
        <v>667</v>
      </c>
      <c r="F25" s="68">
        <v>9</v>
      </c>
      <c r="G25" s="68">
        <v>3401</v>
      </c>
      <c r="H25" s="68">
        <v>8</v>
      </c>
      <c r="I25" s="68">
        <v>1392</v>
      </c>
      <c r="J25" s="68">
        <v>14</v>
      </c>
      <c r="K25" s="68">
        <v>2483</v>
      </c>
      <c r="L25" s="68">
        <v>15</v>
      </c>
      <c r="M25" s="69">
        <v>3470</v>
      </c>
    </row>
    <row r="26" spans="1:13" x14ac:dyDescent="0.25">
      <c r="A26" s="72" t="s">
        <v>104</v>
      </c>
      <c r="B26" s="68">
        <v>292</v>
      </c>
      <c r="C26" s="68">
        <v>3138</v>
      </c>
      <c r="D26" s="68">
        <v>465</v>
      </c>
      <c r="E26" s="68">
        <v>3972</v>
      </c>
      <c r="F26" s="68">
        <v>352</v>
      </c>
      <c r="G26" s="68">
        <v>2736</v>
      </c>
      <c r="H26" s="68">
        <v>208</v>
      </c>
      <c r="I26" s="68">
        <v>1456</v>
      </c>
      <c r="J26" s="68">
        <v>232</v>
      </c>
      <c r="K26" s="68">
        <v>983</v>
      </c>
      <c r="L26" s="68">
        <v>294</v>
      </c>
      <c r="M26" s="69">
        <v>1184</v>
      </c>
    </row>
    <row r="27" spans="1:13" x14ac:dyDescent="0.25">
      <c r="A27" s="64" t="s">
        <v>105</v>
      </c>
      <c r="B27" s="65">
        <f>SUM(B28:B37)</f>
        <v>41</v>
      </c>
      <c r="C27" s="65">
        <f t="shared" ref="C27:M27" si="4">SUM(C28:C37)</f>
        <v>3423</v>
      </c>
      <c r="D27" s="65">
        <f t="shared" si="4"/>
        <v>43</v>
      </c>
      <c r="E27" s="65">
        <f t="shared" si="4"/>
        <v>2480</v>
      </c>
      <c r="F27" s="65">
        <f t="shared" si="4"/>
        <v>110</v>
      </c>
      <c r="G27" s="65">
        <f t="shared" si="4"/>
        <v>3007</v>
      </c>
      <c r="H27" s="65">
        <f t="shared" si="4"/>
        <v>152</v>
      </c>
      <c r="I27" s="65">
        <f t="shared" si="4"/>
        <v>7054</v>
      </c>
      <c r="J27" s="65">
        <f t="shared" si="4"/>
        <v>343</v>
      </c>
      <c r="K27" s="65">
        <f t="shared" si="4"/>
        <v>4842</v>
      </c>
      <c r="L27" s="65">
        <f t="shared" si="4"/>
        <v>95</v>
      </c>
      <c r="M27" s="66">
        <f t="shared" si="4"/>
        <v>4694</v>
      </c>
    </row>
    <row r="28" spans="1:13" x14ac:dyDescent="0.25">
      <c r="A28" s="72" t="s">
        <v>106</v>
      </c>
      <c r="B28" s="68">
        <v>22</v>
      </c>
      <c r="C28" s="68">
        <f>677+377+400</f>
        <v>1454</v>
      </c>
      <c r="D28" s="76">
        <v>23</v>
      </c>
      <c r="E28" s="76">
        <f>300+120+180</f>
        <v>600</v>
      </c>
      <c r="F28" s="76">
        <v>43</v>
      </c>
      <c r="G28" s="76">
        <f>200+130+70</f>
        <v>400</v>
      </c>
      <c r="H28" s="76">
        <v>18</v>
      </c>
      <c r="I28" s="76">
        <f>200+50+150</f>
        <v>400</v>
      </c>
      <c r="J28" s="76">
        <v>52</v>
      </c>
      <c r="K28" s="76">
        <f>100+65+35</f>
        <v>200</v>
      </c>
      <c r="L28" s="76">
        <v>16</v>
      </c>
      <c r="M28" s="84">
        <f>111+432+184</f>
        <v>727</v>
      </c>
    </row>
    <row r="29" spans="1:13" x14ac:dyDescent="0.25">
      <c r="A29" s="77" t="s">
        <v>107</v>
      </c>
      <c r="B29" s="68">
        <v>12</v>
      </c>
      <c r="C29" s="68">
        <f>441+473+164</f>
        <v>1078</v>
      </c>
      <c r="D29" s="68">
        <v>8</v>
      </c>
      <c r="E29" s="68">
        <f>349+376+143</f>
        <v>868</v>
      </c>
      <c r="F29" s="68">
        <v>46</v>
      </c>
      <c r="G29" s="68">
        <f>319+309+173</f>
        <v>801</v>
      </c>
      <c r="H29" s="68">
        <v>57</v>
      </c>
      <c r="I29" s="68">
        <f>182+485+129</f>
        <v>796</v>
      </c>
      <c r="J29" s="68">
        <v>87</v>
      </c>
      <c r="K29" s="68">
        <f>236+392+67</f>
        <v>695</v>
      </c>
      <c r="L29" s="68">
        <v>19</v>
      </c>
      <c r="M29" s="69">
        <f>299+487+157</f>
        <v>943</v>
      </c>
    </row>
    <row r="30" spans="1:13" x14ac:dyDescent="0.25">
      <c r="A30" s="70" t="s">
        <v>108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111"/>
    </row>
    <row r="31" spans="1:13" x14ac:dyDescent="0.25">
      <c r="A31" s="70" t="s">
        <v>109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111"/>
    </row>
    <row r="32" spans="1:13" x14ac:dyDescent="0.25">
      <c r="A32" s="70" t="s">
        <v>110</v>
      </c>
      <c r="B32" s="68">
        <v>2</v>
      </c>
      <c r="C32" s="68">
        <f>62+22+20</f>
        <v>104</v>
      </c>
      <c r="D32" s="68">
        <v>1</v>
      </c>
      <c r="E32" s="68">
        <f>13+20+36</f>
        <v>69</v>
      </c>
      <c r="F32" s="68">
        <v>4</v>
      </c>
      <c r="G32" s="68">
        <f>42+62+40</f>
        <v>144</v>
      </c>
      <c r="H32" s="68">
        <v>13</v>
      </c>
      <c r="I32" s="68">
        <f>386+150+80</f>
        <v>616</v>
      </c>
      <c r="J32" s="68">
        <v>33</v>
      </c>
      <c r="K32" s="68">
        <f>205+220+100</f>
        <v>525</v>
      </c>
      <c r="L32" s="68">
        <v>8</v>
      </c>
      <c r="M32" s="69">
        <f>132+200+62</f>
        <v>394</v>
      </c>
    </row>
    <row r="33" spans="1:13" x14ac:dyDescent="0.25">
      <c r="A33" s="70" t="s">
        <v>111</v>
      </c>
      <c r="B33" s="68">
        <v>1</v>
      </c>
      <c r="C33" s="68">
        <f>200+220+80</f>
        <v>500</v>
      </c>
      <c r="D33" s="68">
        <v>0</v>
      </c>
      <c r="E33" s="68">
        <f>200+220+180</f>
        <v>600</v>
      </c>
      <c r="F33" s="68">
        <v>1</v>
      </c>
      <c r="G33" s="68">
        <f>300+380+220</f>
        <v>900</v>
      </c>
      <c r="H33" s="68">
        <v>0</v>
      </c>
      <c r="I33" s="68">
        <f>1000+856+544</f>
        <v>2400</v>
      </c>
      <c r="J33" s="68">
        <v>6</v>
      </c>
      <c r="K33" s="68">
        <f>300+220+180</f>
        <v>700</v>
      </c>
      <c r="L33" s="68">
        <v>0</v>
      </c>
      <c r="M33" s="69">
        <f>257+300+194</f>
        <v>751</v>
      </c>
    </row>
    <row r="34" spans="1:13" x14ac:dyDescent="0.25">
      <c r="A34" s="70" t="s">
        <v>112</v>
      </c>
      <c r="B34" s="68">
        <v>0</v>
      </c>
      <c r="C34" s="68">
        <f>20+5+3</f>
        <v>28</v>
      </c>
      <c r="D34" s="68">
        <v>0</v>
      </c>
      <c r="E34" s="68">
        <f>35+25+10</f>
        <v>70</v>
      </c>
      <c r="F34" s="68">
        <v>0</v>
      </c>
      <c r="G34" s="68">
        <f>28+17+5</f>
        <v>50</v>
      </c>
      <c r="H34" s="68">
        <v>0</v>
      </c>
      <c r="I34" s="68">
        <f>22+28</f>
        <v>50</v>
      </c>
      <c r="J34" s="68">
        <v>0</v>
      </c>
      <c r="K34" s="68">
        <f>17+15+5</f>
        <v>37</v>
      </c>
      <c r="L34" s="68">
        <v>0</v>
      </c>
      <c r="M34" s="69">
        <f>40+15+2</f>
        <v>57</v>
      </c>
    </row>
    <row r="35" spans="1:13" x14ac:dyDescent="0.25">
      <c r="A35" s="70" t="s">
        <v>113</v>
      </c>
      <c r="B35" s="68">
        <v>1</v>
      </c>
      <c r="C35" s="68">
        <f>13+57+20</f>
        <v>90</v>
      </c>
      <c r="D35" s="68">
        <v>2</v>
      </c>
      <c r="E35" s="68">
        <f>47+20+25</f>
        <v>92</v>
      </c>
      <c r="F35" s="68">
        <v>1</v>
      </c>
      <c r="G35" s="68">
        <f>24+35+11</f>
        <v>70</v>
      </c>
      <c r="H35" s="68">
        <v>8</v>
      </c>
      <c r="I35" s="68">
        <f>12+23+40</f>
        <v>75</v>
      </c>
      <c r="J35" s="68">
        <v>7</v>
      </c>
      <c r="K35" s="68">
        <f>8+25+28</f>
        <v>61</v>
      </c>
      <c r="L35" s="68">
        <v>3</v>
      </c>
      <c r="M35" s="69">
        <f>42+20+15</f>
        <v>77</v>
      </c>
    </row>
    <row r="36" spans="1:13" x14ac:dyDescent="0.25">
      <c r="A36" s="70" t="s">
        <v>114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111"/>
    </row>
    <row r="37" spans="1:13" x14ac:dyDescent="0.25">
      <c r="A37" s="70" t="s">
        <v>115</v>
      </c>
      <c r="B37" s="68">
        <v>3</v>
      </c>
      <c r="C37" s="68">
        <f>37+89+43</f>
        <v>169</v>
      </c>
      <c r="D37" s="68">
        <v>9</v>
      </c>
      <c r="E37" s="68">
        <f>11+102+68</f>
        <v>181</v>
      </c>
      <c r="F37" s="68">
        <v>15</v>
      </c>
      <c r="G37" s="68">
        <f>150+292+200</f>
        <v>642</v>
      </c>
      <c r="H37" s="68">
        <v>56</v>
      </c>
      <c r="I37" s="68">
        <f>527+1530+660</f>
        <v>2717</v>
      </c>
      <c r="J37" s="68">
        <v>158</v>
      </c>
      <c r="K37" s="68">
        <f>243+1774+607</f>
        <v>2624</v>
      </c>
      <c r="L37" s="68">
        <v>49</v>
      </c>
      <c r="M37" s="69">
        <f>359+873+513</f>
        <v>1745</v>
      </c>
    </row>
    <row r="38" spans="1:13" x14ac:dyDescent="0.25">
      <c r="A38" s="64" t="s">
        <v>116</v>
      </c>
      <c r="B38" s="65">
        <f>SUM(B39:B42)</f>
        <v>0</v>
      </c>
      <c r="C38" s="65">
        <f t="shared" ref="C38:M38" si="5">SUM(C39:C42)</f>
        <v>261</v>
      </c>
      <c r="D38" s="65">
        <f t="shared" si="5"/>
        <v>0</v>
      </c>
      <c r="E38" s="65">
        <f t="shared" si="5"/>
        <v>111</v>
      </c>
      <c r="F38" s="65">
        <f t="shared" si="5"/>
        <v>0</v>
      </c>
      <c r="G38" s="65">
        <f t="shared" si="5"/>
        <v>242</v>
      </c>
      <c r="H38" s="65">
        <f t="shared" si="5"/>
        <v>0</v>
      </c>
      <c r="I38" s="65">
        <f t="shared" si="5"/>
        <v>97</v>
      </c>
      <c r="J38" s="65">
        <f t="shared" si="5"/>
        <v>0</v>
      </c>
      <c r="K38" s="65">
        <f t="shared" si="5"/>
        <v>79</v>
      </c>
      <c r="L38" s="65">
        <f t="shared" si="5"/>
        <v>0</v>
      </c>
      <c r="M38" s="66">
        <f t="shared" si="5"/>
        <v>85</v>
      </c>
    </row>
    <row r="39" spans="1:13" x14ac:dyDescent="0.25">
      <c r="A39" s="70" t="s">
        <v>117</v>
      </c>
      <c r="B39" s="76">
        <v>0</v>
      </c>
      <c r="C39" s="76">
        <v>195</v>
      </c>
      <c r="D39" s="76">
        <v>0</v>
      </c>
      <c r="E39" s="76">
        <v>48</v>
      </c>
      <c r="F39" s="76">
        <v>0</v>
      </c>
      <c r="G39" s="76">
        <v>188</v>
      </c>
      <c r="H39" s="76">
        <v>0</v>
      </c>
      <c r="I39" s="76">
        <v>54</v>
      </c>
      <c r="J39" s="76">
        <v>0</v>
      </c>
      <c r="K39" s="76">
        <v>48</v>
      </c>
      <c r="L39" s="76">
        <v>0</v>
      </c>
      <c r="M39" s="84">
        <v>53</v>
      </c>
    </row>
    <row r="40" spans="1:13" x14ac:dyDescent="0.25">
      <c r="A40" s="70" t="s">
        <v>118</v>
      </c>
      <c r="B40" s="68">
        <v>0</v>
      </c>
      <c r="C40" s="68">
        <v>48</v>
      </c>
      <c r="D40" s="68">
        <v>0</v>
      </c>
      <c r="E40" s="68">
        <v>35</v>
      </c>
      <c r="F40" s="68">
        <v>0</v>
      </c>
      <c r="G40" s="68">
        <v>41</v>
      </c>
      <c r="H40" s="68">
        <v>0</v>
      </c>
      <c r="I40" s="68">
        <v>28</v>
      </c>
      <c r="J40" s="68">
        <v>0</v>
      </c>
      <c r="K40" s="68">
        <v>22</v>
      </c>
      <c r="L40" s="68">
        <v>0</v>
      </c>
      <c r="M40" s="69">
        <v>18</v>
      </c>
    </row>
    <row r="41" spans="1:13" ht="15.75" thickBot="1" x14ac:dyDescent="0.3">
      <c r="A41" s="112" t="s">
        <v>119</v>
      </c>
      <c r="B41" s="86">
        <v>0</v>
      </c>
      <c r="C41" s="86">
        <v>18</v>
      </c>
      <c r="D41" s="86">
        <v>0</v>
      </c>
      <c r="E41" s="86">
        <v>28</v>
      </c>
      <c r="F41" s="86">
        <v>0</v>
      </c>
      <c r="G41" s="86">
        <v>13</v>
      </c>
      <c r="H41" s="86">
        <v>0</v>
      </c>
      <c r="I41" s="86">
        <v>15</v>
      </c>
      <c r="J41" s="86">
        <v>0</v>
      </c>
      <c r="K41" s="86">
        <v>9</v>
      </c>
      <c r="L41" s="86">
        <v>0</v>
      </c>
      <c r="M41" s="87">
        <v>14</v>
      </c>
    </row>
    <row r="42" spans="1:13" ht="16.5" thickBot="1" x14ac:dyDescent="0.3">
      <c r="A42" s="79" t="s">
        <v>120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 t="s">
        <v>121</v>
      </c>
    </row>
    <row r="43" spans="1:13" x14ac:dyDescent="0.25">
      <c r="A43" t="s">
        <v>122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</row>
    <row r="44" spans="1:13" x14ac:dyDescent="0.25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</row>
    <row r="45" spans="1:13" x14ac:dyDescent="0.25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</row>
    <row r="46" spans="1:13" ht="15.75" thickBot="1" x14ac:dyDescent="0.3"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</row>
    <row r="47" spans="1:13" x14ac:dyDescent="0.25">
      <c r="A47" s="232" t="s">
        <v>170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4"/>
    </row>
    <row r="48" spans="1:13" ht="15.75" thickBot="1" x14ac:dyDescent="0.3">
      <c r="A48" s="235"/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7"/>
    </row>
    <row r="49" spans="1:13" x14ac:dyDescent="0.25">
      <c r="A49" s="238" t="s">
        <v>79</v>
      </c>
      <c r="B49" s="240" t="s">
        <v>17</v>
      </c>
      <c r="C49" s="241"/>
      <c r="D49" s="240" t="s">
        <v>171</v>
      </c>
      <c r="E49" s="241"/>
      <c r="F49" s="240" t="s">
        <v>19</v>
      </c>
      <c r="G49" s="241"/>
      <c r="H49" s="240" t="s">
        <v>20</v>
      </c>
      <c r="I49" s="241"/>
      <c r="J49" s="240" t="s">
        <v>21</v>
      </c>
      <c r="K49" s="241"/>
      <c r="L49" s="240" t="s">
        <v>22</v>
      </c>
      <c r="M49" s="242"/>
    </row>
    <row r="50" spans="1:13" x14ac:dyDescent="0.25">
      <c r="A50" s="239"/>
      <c r="B50" s="113" t="s">
        <v>81</v>
      </c>
      <c r="C50" s="114" t="s">
        <v>82</v>
      </c>
      <c r="D50" s="113" t="s">
        <v>81</v>
      </c>
      <c r="E50" s="114" t="s">
        <v>82</v>
      </c>
      <c r="F50" s="113" t="s">
        <v>81</v>
      </c>
      <c r="G50" s="114" t="s">
        <v>82</v>
      </c>
      <c r="H50" s="113" t="s">
        <v>81</v>
      </c>
      <c r="I50" s="114" t="s">
        <v>82</v>
      </c>
      <c r="J50" s="113" t="s">
        <v>81</v>
      </c>
      <c r="K50" s="114" t="s">
        <v>82</v>
      </c>
      <c r="L50" s="113" t="s">
        <v>81</v>
      </c>
      <c r="M50" s="115" t="s">
        <v>82</v>
      </c>
    </row>
    <row r="51" spans="1:13" x14ac:dyDescent="0.25">
      <c r="A51" s="61" t="s">
        <v>83</v>
      </c>
      <c r="B51" s="62">
        <f t="shared" ref="B51" si="6">B52+B57+B65+B73</f>
        <v>1950</v>
      </c>
      <c r="C51" s="62">
        <f>C52+C57+C65+C73+C84</f>
        <v>250986</v>
      </c>
      <c r="D51" s="62">
        <f t="shared" ref="D51:M51" si="7">D52+D57+D65+D73+D84</f>
        <v>3034</v>
      </c>
      <c r="E51" s="62">
        <f t="shared" si="7"/>
        <v>199209</v>
      </c>
      <c r="F51" s="62">
        <f t="shared" si="7"/>
        <v>2842</v>
      </c>
      <c r="G51" s="62">
        <f t="shared" si="7"/>
        <v>111032</v>
      </c>
      <c r="H51" s="62">
        <f t="shared" si="7"/>
        <v>4553</v>
      </c>
      <c r="I51" s="62">
        <f t="shared" si="7"/>
        <v>188656</v>
      </c>
      <c r="J51" s="62">
        <f t="shared" si="7"/>
        <v>2861</v>
      </c>
      <c r="K51" s="62">
        <f t="shared" si="7"/>
        <v>262847</v>
      </c>
      <c r="L51" s="62">
        <f t="shared" si="7"/>
        <v>2593</v>
      </c>
      <c r="M51" s="63">
        <f t="shared" si="7"/>
        <v>224953</v>
      </c>
    </row>
    <row r="52" spans="1:13" x14ac:dyDescent="0.25">
      <c r="A52" s="64" t="s">
        <v>84</v>
      </c>
      <c r="B52" s="65">
        <f>SUM(B53:B56)</f>
        <v>646</v>
      </c>
      <c r="C52" s="65">
        <f t="shared" ref="C52:M52" si="8">SUM(C53:C56)</f>
        <v>103132</v>
      </c>
      <c r="D52" s="65">
        <f t="shared" si="8"/>
        <v>936</v>
      </c>
      <c r="E52" s="65">
        <f t="shared" si="8"/>
        <v>74451</v>
      </c>
      <c r="F52" s="65">
        <f t="shared" si="8"/>
        <v>982</v>
      </c>
      <c r="G52" s="65">
        <f t="shared" si="8"/>
        <v>48046</v>
      </c>
      <c r="H52" s="65">
        <f t="shared" si="8"/>
        <v>1049</v>
      </c>
      <c r="I52" s="65">
        <f t="shared" si="8"/>
        <v>93798</v>
      </c>
      <c r="J52" s="65">
        <f t="shared" si="8"/>
        <v>741</v>
      </c>
      <c r="K52" s="65">
        <f t="shared" si="8"/>
        <v>131841</v>
      </c>
      <c r="L52" s="65">
        <f t="shared" si="8"/>
        <v>582</v>
      </c>
      <c r="M52" s="66">
        <f t="shared" si="8"/>
        <v>106321</v>
      </c>
    </row>
    <row r="53" spans="1:13" x14ac:dyDescent="0.25">
      <c r="A53" s="116" t="s">
        <v>85</v>
      </c>
      <c r="B53" s="71">
        <v>43</v>
      </c>
      <c r="C53" s="71">
        <v>23546</v>
      </c>
      <c r="D53" s="71">
        <v>43</v>
      </c>
      <c r="E53" s="71">
        <v>14148</v>
      </c>
      <c r="F53" s="71">
        <v>48</v>
      </c>
      <c r="G53" s="71">
        <v>8227</v>
      </c>
      <c r="H53" s="71">
        <v>71</v>
      </c>
      <c r="I53" s="71">
        <v>15824</v>
      </c>
      <c r="J53" s="71">
        <v>34</v>
      </c>
      <c r="K53" s="71">
        <v>23354</v>
      </c>
      <c r="L53" s="71">
        <v>54</v>
      </c>
      <c r="M53" s="117">
        <v>20113</v>
      </c>
    </row>
    <row r="54" spans="1:13" x14ac:dyDescent="0.25">
      <c r="A54" s="118" t="s">
        <v>86</v>
      </c>
      <c r="B54" s="71">
        <v>211</v>
      </c>
      <c r="C54" s="71">
        <v>30759</v>
      </c>
      <c r="D54" s="71">
        <v>509</v>
      </c>
      <c r="E54" s="71">
        <v>23804</v>
      </c>
      <c r="F54" s="71">
        <v>397</v>
      </c>
      <c r="G54" s="71">
        <v>12620</v>
      </c>
      <c r="H54" s="71">
        <v>187</v>
      </c>
      <c r="I54" s="71">
        <v>31834</v>
      </c>
      <c r="J54" s="71">
        <v>222</v>
      </c>
      <c r="K54" s="71">
        <v>47991</v>
      </c>
      <c r="L54" s="71">
        <v>220</v>
      </c>
      <c r="M54" s="117">
        <v>33698</v>
      </c>
    </row>
    <row r="55" spans="1:13" x14ac:dyDescent="0.25">
      <c r="A55" s="118" t="s">
        <v>87</v>
      </c>
      <c r="B55" s="71">
        <v>345</v>
      </c>
      <c r="C55" s="71">
        <v>48374</v>
      </c>
      <c r="D55" s="71">
        <v>315</v>
      </c>
      <c r="E55" s="71">
        <v>36110</v>
      </c>
      <c r="F55" s="71">
        <v>423</v>
      </c>
      <c r="G55" s="71">
        <v>26842</v>
      </c>
      <c r="H55" s="71">
        <v>534</v>
      </c>
      <c r="I55" s="71">
        <v>45529</v>
      </c>
      <c r="J55" s="71">
        <v>485</v>
      </c>
      <c r="K55" s="71">
        <v>60496</v>
      </c>
      <c r="L55" s="71">
        <v>297</v>
      </c>
      <c r="M55" s="117">
        <v>51658</v>
      </c>
    </row>
    <row r="56" spans="1:13" x14ac:dyDescent="0.25">
      <c r="A56" s="118" t="s">
        <v>88</v>
      </c>
      <c r="B56" s="71">
        <v>47</v>
      </c>
      <c r="C56" s="71">
        <v>453</v>
      </c>
      <c r="D56" s="71">
        <v>69</v>
      </c>
      <c r="E56" s="71">
        <v>389</v>
      </c>
      <c r="F56" s="71">
        <v>114</v>
      </c>
      <c r="G56" s="71">
        <v>357</v>
      </c>
      <c r="H56" s="71">
        <v>257</v>
      </c>
      <c r="I56" s="71">
        <v>611</v>
      </c>
      <c r="J56" s="71"/>
      <c r="K56" s="71"/>
      <c r="L56" s="71">
        <v>11</v>
      </c>
      <c r="M56" s="117">
        <v>852</v>
      </c>
    </row>
    <row r="57" spans="1:13" x14ac:dyDescent="0.25">
      <c r="A57" s="64" t="s">
        <v>89</v>
      </c>
      <c r="B57" s="65">
        <f t="shared" ref="B57:M57" si="9">SUM(B58:B64)</f>
        <v>651</v>
      </c>
      <c r="C57" s="65">
        <f t="shared" si="9"/>
        <v>110372</v>
      </c>
      <c r="D57" s="65">
        <f t="shared" si="9"/>
        <v>1109</v>
      </c>
      <c r="E57" s="65">
        <f t="shared" si="9"/>
        <v>89507</v>
      </c>
      <c r="F57" s="65">
        <f t="shared" si="9"/>
        <v>1078</v>
      </c>
      <c r="G57" s="65">
        <f t="shared" si="9"/>
        <v>39462</v>
      </c>
      <c r="H57" s="65">
        <f t="shared" si="9"/>
        <v>2217</v>
      </c>
      <c r="I57" s="65">
        <f t="shared" si="9"/>
        <v>70156</v>
      </c>
      <c r="J57" s="65">
        <f t="shared" si="9"/>
        <v>1239</v>
      </c>
      <c r="K57" s="65">
        <f t="shared" si="9"/>
        <v>99281</v>
      </c>
      <c r="L57" s="65">
        <f t="shared" si="9"/>
        <v>973</v>
      </c>
      <c r="M57" s="66">
        <f t="shared" si="9"/>
        <v>72075</v>
      </c>
    </row>
    <row r="58" spans="1:13" x14ac:dyDescent="0.25">
      <c r="A58" s="118" t="s">
        <v>90</v>
      </c>
      <c r="B58" s="71">
        <v>217</v>
      </c>
      <c r="C58" s="71">
        <v>20613</v>
      </c>
      <c r="D58" s="71">
        <v>405</v>
      </c>
      <c r="E58" s="71">
        <v>18590</v>
      </c>
      <c r="F58" s="71">
        <v>372</v>
      </c>
      <c r="G58" s="71">
        <v>11773</v>
      </c>
      <c r="H58" s="71">
        <v>746</v>
      </c>
      <c r="I58" s="71">
        <v>21998</v>
      </c>
      <c r="J58" s="71">
        <v>511</v>
      </c>
      <c r="K58" s="71">
        <v>26630</v>
      </c>
      <c r="L58" s="71">
        <v>368</v>
      </c>
      <c r="M58" s="117">
        <v>24048</v>
      </c>
    </row>
    <row r="59" spans="1:13" x14ac:dyDescent="0.25">
      <c r="A59" s="77" t="s">
        <v>91</v>
      </c>
      <c r="B59" s="71">
        <v>2</v>
      </c>
      <c r="C59" s="71">
        <v>2370</v>
      </c>
      <c r="D59" s="71">
        <v>3</v>
      </c>
      <c r="E59" s="71">
        <v>10300</v>
      </c>
      <c r="F59" s="71">
        <v>2</v>
      </c>
      <c r="G59" s="71">
        <v>6320</v>
      </c>
      <c r="H59" s="71">
        <v>2</v>
      </c>
      <c r="I59" s="71">
        <v>4000</v>
      </c>
      <c r="J59" s="71">
        <v>8</v>
      </c>
      <c r="K59" s="71">
        <v>25240</v>
      </c>
      <c r="L59" s="71">
        <v>2</v>
      </c>
      <c r="M59" s="117">
        <v>5380</v>
      </c>
    </row>
    <row r="60" spans="1:13" x14ac:dyDescent="0.25">
      <c r="A60" s="77" t="s">
        <v>93</v>
      </c>
      <c r="B60" s="71">
        <v>283</v>
      </c>
      <c r="C60" s="71">
        <v>39015</v>
      </c>
      <c r="D60" s="71">
        <v>497</v>
      </c>
      <c r="E60" s="71">
        <v>31837</v>
      </c>
      <c r="F60" s="71">
        <v>451</v>
      </c>
      <c r="G60" s="71">
        <v>9574</v>
      </c>
      <c r="H60" s="71">
        <v>914</v>
      </c>
      <c r="I60" s="71">
        <v>10521</v>
      </c>
      <c r="J60" s="71">
        <v>407</v>
      </c>
      <c r="K60" s="71">
        <v>9338</v>
      </c>
      <c r="L60" s="71">
        <v>322</v>
      </c>
      <c r="M60" s="117">
        <v>13869</v>
      </c>
    </row>
    <row r="61" spans="1:13" x14ac:dyDescent="0.25">
      <c r="A61" s="77" t="s">
        <v>92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4"/>
    </row>
    <row r="62" spans="1:13" x14ac:dyDescent="0.25">
      <c r="A62" s="77" t="s">
        <v>94</v>
      </c>
      <c r="B62" s="71">
        <v>27</v>
      </c>
      <c r="C62" s="71">
        <v>14622</v>
      </c>
      <c r="D62" s="71">
        <v>10</v>
      </c>
      <c r="E62" s="71">
        <v>9660</v>
      </c>
      <c r="F62" s="71">
        <v>30</v>
      </c>
      <c r="G62" s="71">
        <v>2575</v>
      </c>
      <c r="H62" s="119">
        <v>150</v>
      </c>
      <c r="I62" s="119">
        <v>14645</v>
      </c>
      <c r="J62" s="119">
        <v>43</v>
      </c>
      <c r="K62" s="119">
        <v>10400</v>
      </c>
      <c r="L62" s="71">
        <v>43</v>
      </c>
      <c r="M62" s="117">
        <v>10138</v>
      </c>
    </row>
    <row r="63" spans="1:13" x14ac:dyDescent="0.25">
      <c r="A63" s="77" t="s">
        <v>95</v>
      </c>
      <c r="B63" s="71">
        <v>1</v>
      </c>
      <c r="C63" s="71">
        <v>860</v>
      </c>
      <c r="D63" s="71">
        <v>0</v>
      </c>
      <c r="E63" s="71">
        <v>980</v>
      </c>
      <c r="F63" s="71">
        <v>0</v>
      </c>
      <c r="G63" s="71">
        <v>1165</v>
      </c>
      <c r="H63" s="71">
        <v>8</v>
      </c>
      <c r="I63" s="71">
        <v>1350</v>
      </c>
      <c r="J63" s="119">
        <v>2</v>
      </c>
      <c r="K63" s="119">
        <v>2600</v>
      </c>
      <c r="L63" s="71">
        <v>2</v>
      </c>
      <c r="M63" s="117">
        <v>1550</v>
      </c>
    </row>
    <row r="64" spans="1:13" x14ac:dyDescent="0.25">
      <c r="A64" s="77" t="s">
        <v>96</v>
      </c>
      <c r="B64" s="71">
        <v>121</v>
      </c>
      <c r="C64" s="71">
        <v>32892</v>
      </c>
      <c r="D64" s="71">
        <v>194</v>
      </c>
      <c r="E64" s="71">
        <v>18140</v>
      </c>
      <c r="F64" s="71">
        <v>223</v>
      </c>
      <c r="G64" s="71">
        <v>8055</v>
      </c>
      <c r="H64" s="71">
        <v>397</v>
      </c>
      <c r="I64" s="71">
        <v>17642</v>
      </c>
      <c r="J64" s="71">
        <v>268</v>
      </c>
      <c r="K64" s="71">
        <v>25073</v>
      </c>
      <c r="L64" s="71">
        <v>236</v>
      </c>
      <c r="M64" s="117">
        <v>17090</v>
      </c>
    </row>
    <row r="65" spans="1:13" x14ac:dyDescent="0.25">
      <c r="A65" s="64" t="s">
        <v>97</v>
      </c>
      <c r="B65" s="65">
        <f>SUM(B66:B72)</f>
        <v>516</v>
      </c>
      <c r="C65" s="65">
        <f t="shared" ref="C65:M65" si="10">SUM(C66:C72)</f>
        <v>26618</v>
      </c>
      <c r="D65" s="65">
        <f t="shared" si="10"/>
        <v>578</v>
      </c>
      <c r="E65" s="65">
        <f t="shared" si="10"/>
        <v>28249</v>
      </c>
      <c r="F65" s="65">
        <f t="shared" si="10"/>
        <v>474</v>
      </c>
      <c r="G65" s="65">
        <f t="shared" si="10"/>
        <v>20111</v>
      </c>
      <c r="H65" s="65">
        <f t="shared" si="10"/>
        <v>780</v>
      </c>
      <c r="I65" s="65">
        <f t="shared" si="10"/>
        <v>19242</v>
      </c>
      <c r="J65" s="65">
        <f t="shared" si="10"/>
        <v>724</v>
      </c>
      <c r="K65" s="65">
        <f t="shared" si="10"/>
        <v>25747</v>
      </c>
      <c r="L65" s="65">
        <f t="shared" si="10"/>
        <v>881</v>
      </c>
      <c r="M65" s="66">
        <f t="shared" si="10"/>
        <v>39160</v>
      </c>
    </row>
    <row r="66" spans="1:13" x14ac:dyDescent="0.25">
      <c r="A66" s="77" t="s">
        <v>98</v>
      </c>
      <c r="B66" s="71">
        <v>43</v>
      </c>
      <c r="C66" s="71">
        <f>187+225+70+22</f>
        <v>504</v>
      </c>
      <c r="D66" s="71">
        <v>38</v>
      </c>
      <c r="E66" s="71">
        <f>515+204+541+48+10</f>
        <v>1318</v>
      </c>
      <c r="F66" s="71">
        <v>17</v>
      </c>
      <c r="G66" s="71">
        <f>416+291+579+52</f>
        <v>1338</v>
      </c>
      <c r="H66" s="71">
        <v>61</v>
      </c>
      <c r="I66" s="71">
        <f>658+329+1320+111</f>
        <v>2418</v>
      </c>
      <c r="J66" s="71">
        <v>46</v>
      </c>
      <c r="K66" s="71">
        <f>521+255+2230+306+20</f>
        <v>3332</v>
      </c>
      <c r="L66" s="71">
        <v>71</v>
      </c>
      <c r="M66" s="117">
        <f>768+345+1262+138+25</f>
        <v>2538</v>
      </c>
    </row>
    <row r="67" spans="1:13" x14ac:dyDescent="0.25">
      <c r="A67" s="77" t="s">
        <v>99</v>
      </c>
      <c r="B67" s="71">
        <v>0</v>
      </c>
      <c r="C67" s="71">
        <v>1283</v>
      </c>
      <c r="D67" s="71">
        <v>20</v>
      </c>
      <c r="E67" s="71">
        <v>1224</v>
      </c>
      <c r="F67" s="71">
        <v>9</v>
      </c>
      <c r="G67" s="71">
        <v>890</v>
      </c>
      <c r="H67" s="71">
        <v>5</v>
      </c>
      <c r="I67" s="71">
        <v>905</v>
      </c>
      <c r="J67" s="71">
        <v>10</v>
      </c>
      <c r="K67" s="71">
        <v>1032</v>
      </c>
      <c r="L67" s="71">
        <v>5</v>
      </c>
      <c r="M67" s="117">
        <v>1100</v>
      </c>
    </row>
    <row r="68" spans="1:13" x14ac:dyDescent="0.25">
      <c r="A68" s="77" t="s">
        <v>100</v>
      </c>
      <c r="B68" s="71">
        <v>10</v>
      </c>
      <c r="C68" s="71">
        <f>2815+470</f>
        <v>3285</v>
      </c>
      <c r="D68" s="71">
        <v>6</v>
      </c>
      <c r="E68" s="71">
        <f>2830+960</f>
        <v>3790</v>
      </c>
      <c r="F68" s="71">
        <v>12</v>
      </c>
      <c r="G68" s="71">
        <v>2570</v>
      </c>
      <c r="H68" s="71">
        <v>79</v>
      </c>
      <c r="I68" s="71">
        <f>2020+330</f>
        <v>2350</v>
      </c>
      <c r="J68" s="71">
        <v>39</v>
      </c>
      <c r="K68" s="71">
        <v>2065</v>
      </c>
      <c r="L68" s="71">
        <v>43</v>
      </c>
      <c r="M68" s="117">
        <f>975+665</f>
        <v>1640</v>
      </c>
    </row>
    <row r="69" spans="1:13" x14ac:dyDescent="0.25">
      <c r="A69" s="77" t="s">
        <v>172</v>
      </c>
      <c r="B69" s="71">
        <v>26</v>
      </c>
      <c r="C69" s="71">
        <v>9605</v>
      </c>
      <c r="D69" s="71">
        <v>10</v>
      </c>
      <c r="E69" s="71">
        <v>3094</v>
      </c>
      <c r="F69" s="71">
        <v>23</v>
      </c>
      <c r="G69" s="71">
        <v>2582</v>
      </c>
      <c r="H69" s="71">
        <v>156</v>
      </c>
      <c r="I69" s="71">
        <v>3801</v>
      </c>
      <c r="J69" s="71">
        <v>164</v>
      </c>
      <c r="K69" s="71">
        <v>8796</v>
      </c>
      <c r="L69" s="71">
        <v>108</v>
      </c>
      <c r="M69" s="117">
        <v>16530</v>
      </c>
    </row>
    <row r="70" spans="1:13" x14ac:dyDescent="0.25">
      <c r="A70" s="77" t="s">
        <v>102</v>
      </c>
      <c r="B70" s="71">
        <v>0</v>
      </c>
      <c r="C70" s="71">
        <f>2984+3745+66+5</f>
        <v>6800</v>
      </c>
      <c r="D70" s="71">
        <v>0</v>
      </c>
      <c r="E70" s="71">
        <f>5197+7173+139+12</f>
        <v>12521</v>
      </c>
      <c r="F70" s="71">
        <v>2</v>
      </c>
      <c r="G70" s="71">
        <f>2378+4397+168+8</f>
        <v>6951</v>
      </c>
      <c r="H70" s="71">
        <v>3</v>
      </c>
      <c r="I70" s="71">
        <f>1960+2595+237+12</f>
        <v>4804</v>
      </c>
      <c r="J70" s="71">
        <v>1</v>
      </c>
      <c r="K70" s="71">
        <f>2621+3197+427+19</f>
        <v>6264</v>
      </c>
      <c r="L70" s="71">
        <v>0</v>
      </c>
      <c r="M70" s="117">
        <f>2545+2970+395+22</f>
        <v>5932</v>
      </c>
    </row>
    <row r="71" spans="1:13" x14ac:dyDescent="0.25">
      <c r="A71" s="77" t="s">
        <v>103</v>
      </c>
      <c r="B71" s="71">
        <v>13</v>
      </c>
      <c r="C71" s="71">
        <v>3736</v>
      </c>
      <c r="D71" s="120">
        <v>12</v>
      </c>
      <c r="E71" s="120">
        <v>4822</v>
      </c>
      <c r="F71" s="120">
        <v>23</v>
      </c>
      <c r="G71" s="120">
        <v>4692</v>
      </c>
      <c r="H71" s="71">
        <v>34</v>
      </c>
      <c r="I71" s="71">
        <v>3412</v>
      </c>
      <c r="J71" s="71">
        <v>28</v>
      </c>
      <c r="K71" s="71">
        <v>2244</v>
      </c>
      <c r="L71" s="71">
        <v>44</v>
      </c>
      <c r="M71" s="117">
        <v>4722</v>
      </c>
    </row>
    <row r="72" spans="1:13" x14ac:dyDescent="0.25">
      <c r="A72" s="77" t="s">
        <v>173</v>
      </c>
      <c r="B72" s="71">
        <v>424</v>
      </c>
      <c r="C72" s="71">
        <v>1405</v>
      </c>
      <c r="D72" s="71">
        <v>492</v>
      </c>
      <c r="E72" s="71">
        <v>1480</v>
      </c>
      <c r="F72" s="71">
        <v>388</v>
      </c>
      <c r="G72" s="71">
        <v>1088</v>
      </c>
      <c r="H72" s="71">
        <v>442</v>
      </c>
      <c r="I72" s="71">
        <v>1552</v>
      </c>
      <c r="J72" s="71">
        <v>436</v>
      </c>
      <c r="K72" s="71">
        <v>2014</v>
      </c>
      <c r="L72" s="71">
        <v>610</v>
      </c>
      <c r="M72" s="117">
        <v>6698</v>
      </c>
    </row>
    <row r="73" spans="1:13" x14ac:dyDescent="0.25">
      <c r="A73" s="64" t="s">
        <v>105</v>
      </c>
      <c r="B73" s="65">
        <f t="shared" ref="B73:M73" si="11">SUM(B74:B83)</f>
        <v>137</v>
      </c>
      <c r="C73" s="65">
        <f t="shared" si="11"/>
        <v>10772</v>
      </c>
      <c r="D73" s="65">
        <f t="shared" si="11"/>
        <v>411</v>
      </c>
      <c r="E73" s="65">
        <f t="shared" si="11"/>
        <v>6895</v>
      </c>
      <c r="F73" s="65">
        <f t="shared" si="11"/>
        <v>308</v>
      </c>
      <c r="G73" s="65">
        <f t="shared" si="11"/>
        <v>3293</v>
      </c>
      <c r="H73" s="65">
        <f t="shared" si="11"/>
        <v>507</v>
      </c>
      <c r="I73" s="65">
        <f t="shared" si="11"/>
        <v>5120</v>
      </c>
      <c r="J73" s="65">
        <f t="shared" si="11"/>
        <v>155</v>
      </c>
      <c r="K73" s="65">
        <f t="shared" si="11"/>
        <v>5780</v>
      </c>
      <c r="L73" s="65">
        <f t="shared" si="11"/>
        <v>157</v>
      </c>
      <c r="M73" s="66">
        <f t="shared" si="11"/>
        <v>7141</v>
      </c>
    </row>
    <row r="74" spans="1:13" x14ac:dyDescent="0.25">
      <c r="A74" s="77" t="s">
        <v>106</v>
      </c>
      <c r="B74" s="68">
        <v>22</v>
      </c>
      <c r="C74" s="68">
        <f>158+600+276</f>
        <v>1034</v>
      </c>
      <c r="D74" s="68">
        <v>37</v>
      </c>
      <c r="E74" s="68">
        <f>305+550+250</f>
        <v>1105</v>
      </c>
      <c r="F74" s="68">
        <v>44</v>
      </c>
      <c r="G74" s="68">
        <f>72+350+150</f>
        <v>572</v>
      </c>
      <c r="H74" s="68">
        <v>166</v>
      </c>
      <c r="I74" s="68">
        <f>350+445+190</f>
        <v>985</v>
      </c>
      <c r="J74" s="68">
        <v>69</v>
      </c>
      <c r="K74" s="68">
        <f>888+535+200</f>
        <v>1623</v>
      </c>
      <c r="L74" s="68">
        <v>65</v>
      </c>
      <c r="M74" s="69">
        <f>1104+683+292</f>
        <v>2079</v>
      </c>
    </row>
    <row r="75" spans="1:13" x14ac:dyDescent="0.25">
      <c r="A75" s="77" t="s">
        <v>107</v>
      </c>
      <c r="B75" s="68">
        <v>32</v>
      </c>
      <c r="C75" s="68">
        <f>593+788+367</f>
        <v>1748</v>
      </c>
      <c r="D75" s="68">
        <v>135</v>
      </c>
      <c r="E75" s="68">
        <f>531+609+143</f>
        <v>1283</v>
      </c>
      <c r="F75" s="68">
        <v>173</v>
      </c>
      <c r="G75" s="68">
        <f>547+381+164</f>
        <v>1092</v>
      </c>
      <c r="H75" s="68">
        <v>200</v>
      </c>
      <c r="I75" s="68">
        <f>653+531+208</f>
        <v>1392</v>
      </c>
      <c r="J75" s="68">
        <v>59</v>
      </c>
      <c r="K75" s="68">
        <f>823+507+124</f>
        <v>1454</v>
      </c>
      <c r="L75" s="68">
        <v>45</v>
      </c>
      <c r="M75" s="69">
        <f>907+626+241</f>
        <v>1774</v>
      </c>
    </row>
    <row r="76" spans="1:13" x14ac:dyDescent="0.25">
      <c r="A76" s="118" t="s">
        <v>108</v>
      </c>
      <c r="B76" s="73"/>
      <c r="C76" s="73"/>
      <c r="D76" s="73"/>
      <c r="E76" s="73"/>
      <c r="F76" s="73"/>
      <c r="G76" s="73"/>
      <c r="H76" s="68">
        <v>0</v>
      </c>
      <c r="I76" s="68">
        <f>300+50+31</f>
        <v>381</v>
      </c>
      <c r="J76" s="68">
        <v>0</v>
      </c>
      <c r="K76" s="68">
        <f>570+95+95</f>
        <v>760</v>
      </c>
      <c r="L76" s="68">
        <v>9</v>
      </c>
      <c r="M76" s="69">
        <f>300+100+170</f>
        <v>570</v>
      </c>
    </row>
    <row r="77" spans="1:13" x14ac:dyDescent="0.25">
      <c r="A77" s="118" t="s">
        <v>109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4"/>
    </row>
    <row r="78" spans="1:13" x14ac:dyDescent="0.25">
      <c r="A78" s="118" t="s">
        <v>110</v>
      </c>
      <c r="B78" s="68">
        <v>11</v>
      </c>
      <c r="C78" s="68">
        <f>386+363+146</f>
        <v>895</v>
      </c>
      <c r="D78" s="68">
        <v>26</v>
      </c>
      <c r="E78" s="68">
        <f>292+200+83</f>
        <v>575</v>
      </c>
      <c r="F78" s="68">
        <v>33</v>
      </c>
      <c r="G78" s="68">
        <f>90+120+66</f>
        <v>276</v>
      </c>
      <c r="H78" s="68">
        <v>19</v>
      </c>
      <c r="I78" s="68">
        <f>148+120+57</f>
        <v>325</v>
      </c>
      <c r="J78" s="68">
        <v>1</v>
      </c>
      <c r="K78" s="68">
        <f>63+61+47</f>
        <v>171</v>
      </c>
      <c r="L78" s="68">
        <v>2</v>
      </c>
      <c r="M78" s="69">
        <f>147+100+34</f>
        <v>281</v>
      </c>
    </row>
    <row r="79" spans="1:13" x14ac:dyDescent="0.25">
      <c r="A79" s="118" t="s">
        <v>111</v>
      </c>
      <c r="B79" s="68">
        <v>0</v>
      </c>
      <c r="C79" s="68">
        <f>244+600+189</f>
        <v>1033</v>
      </c>
      <c r="D79" s="68">
        <v>0</v>
      </c>
      <c r="E79" s="68">
        <f>327+400+191</f>
        <v>918</v>
      </c>
      <c r="F79" s="68">
        <v>0</v>
      </c>
      <c r="G79" s="68">
        <f>121+200+165</f>
        <v>486</v>
      </c>
      <c r="H79" s="68">
        <v>0</v>
      </c>
      <c r="I79" s="68">
        <f>242+345+286</f>
        <v>873</v>
      </c>
      <c r="J79" s="68">
        <v>0</v>
      </c>
      <c r="K79" s="68">
        <f>287+300+224</f>
        <v>811</v>
      </c>
      <c r="L79" s="68">
        <v>2</v>
      </c>
      <c r="M79" s="69">
        <f>511+450+250</f>
        <v>1211</v>
      </c>
    </row>
    <row r="80" spans="1:13" x14ac:dyDescent="0.25">
      <c r="A80" s="118" t="s">
        <v>112</v>
      </c>
      <c r="B80" s="68">
        <v>0</v>
      </c>
      <c r="C80" s="68">
        <f>25+5+44</f>
        <v>74</v>
      </c>
      <c r="D80" s="68">
        <v>0</v>
      </c>
      <c r="E80" s="68">
        <f>18+30+4</f>
        <v>52</v>
      </c>
      <c r="F80" s="68">
        <v>0</v>
      </c>
      <c r="G80" s="68">
        <f>6+30+51</f>
        <v>87</v>
      </c>
      <c r="H80" s="68">
        <v>0</v>
      </c>
      <c r="I80" s="68">
        <f>57+40+10</f>
        <v>107</v>
      </c>
      <c r="J80" s="68">
        <v>0</v>
      </c>
      <c r="K80" s="68">
        <f>104+25+10</f>
        <v>139</v>
      </c>
      <c r="L80" s="68">
        <v>0</v>
      </c>
      <c r="M80" s="69">
        <f>90+25+7</f>
        <v>122</v>
      </c>
    </row>
    <row r="81" spans="1:13" x14ac:dyDescent="0.25">
      <c r="A81" s="118" t="s">
        <v>113</v>
      </c>
      <c r="B81" s="68">
        <v>2</v>
      </c>
      <c r="C81" s="68">
        <f>50+27+59</f>
        <v>136</v>
      </c>
      <c r="D81" s="68">
        <v>4</v>
      </c>
      <c r="E81" s="68">
        <f>68+13+20</f>
        <v>101</v>
      </c>
      <c r="F81" s="68">
        <v>14</v>
      </c>
      <c r="G81" s="68">
        <f>25+28+20</f>
        <v>73</v>
      </c>
      <c r="H81" s="68">
        <v>28</v>
      </c>
      <c r="I81" s="68">
        <f>127+75+33</f>
        <v>235</v>
      </c>
      <c r="J81" s="68">
        <v>5</v>
      </c>
      <c r="K81" s="68">
        <f>143+27+31</f>
        <v>201</v>
      </c>
      <c r="L81" s="68">
        <v>10</v>
      </c>
      <c r="M81" s="69">
        <f>120+100+50</f>
        <v>270</v>
      </c>
    </row>
    <row r="82" spans="1:13" x14ac:dyDescent="0.25">
      <c r="A82" s="118" t="s">
        <v>114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4"/>
    </row>
    <row r="83" spans="1:13" x14ac:dyDescent="0.25">
      <c r="A83" s="118" t="s">
        <v>115</v>
      </c>
      <c r="B83" s="68">
        <v>70</v>
      </c>
      <c r="C83" s="68">
        <f>1104+3000+1748</f>
        <v>5852</v>
      </c>
      <c r="D83" s="68">
        <v>209</v>
      </c>
      <c r="E83" s="68">
        <f>501+1367+993</f>
        <v>2861</v>
      </c>
      <c r="F83" s="68">
        <v>44</v>
      </c>
      <c r="G83" s="68">
        <f>108+400+199</f>
        <v>707</v>
      </c>
      <c r="H83" s="68">
        <v>94</v>
      </c>
      <c r="I83" s="68">
        <f>160+463+199</f>
        <v>822</v>
      </c>
      <c r="J83" s="68">
        <v>21</v>
      </c>
      <c r="K83" s="68">
        <f>120+314+187</f>
        <v>621</v>
      </c>
      <c r="L83" s="68">
        <v>24</v>
      </c>
      <c r="M83" s="69">
        <f>183+421+230</f>
        <v>834</v>
      </c>
    </row>
    <row r="84" spans="1:13" x14ac:dyDescent="0.25">
      <c r="A84" s="64" t="s">
        <v>116</v>
      </c>
      <c r="B84" s="65">
        <f>SUM(B85:B87)</f>
        <v>0</v>
      </c>
      <c r="C84" s="65">
        <f t="shared" ref="C84:M84" si="12">SUM(C85:C87)</f>
        <v>92</v>
      </c>
      <c r="D84" s="65">
        <f t="shared" si="12"/>
        <v>0</v>
      </c>
      <c r="E84" s="65">
        <f t="shared" si="12"/>
        <v>107</v>
      </c>
      <c r="F84" s="65">
        <f t="shared" si="12"/>
        <v>0</v>
      </c>
      <c r="G84" s="65">
        <f t="shared" si="12"/>
        <v>120</v>
      </c>
      <c r="H84" s="65">
        <f t="shared" si="12"/>
        <v>0</v>
      </c>
      <c r="I84" s="65">
        <f t="shared" si="12"/>
        <v>340</v>
      </c>
      <c r="J84" s="65">
        <f t="shared" si="12"/>
        <v>2</v>
      </c>
      <c r="K84" s="65">
        <f t="shared" si="12"/>
        <v>198</v>
      </c>
      <c r="L84" s="65">
        <f t="shared" si="12"/>
        <v>0</v>
      </c>
      <c r="M84" s="66">
        <f t="shared" si="12"/>
        <v>256</v>
      </c>
    </row>
    <row r="85" spans="1:13" x14ac:dyDescent="0.25">
      <c r="A85" s="118" t="s">
        <v>117</v>
      </c>
      <c r="B85" s="68">
        <v>0</v>
      </c>
      <c r="C85" s="68">
        <v>56</v>
      </c>
      <c r="D85" s="68">
        <v>0</v>
      </c>
      <c r="E85" s="68">
        <v>60</v>
      </c>
      <c r="F85" s="68">
        <v>0</v>
      </c>
      <c r="G85" s="68">
        <v>51</v>
      </c>
      <c r="H85" s="68">
        <v>0</v>
      </c>
      <c r="I85" s="68">
        <v>294</v>
      </c>
      <c r="J85" s="68">
        <v>2</v>
      </c>
      <c r="K85" s="68">
        <v>120</v>
      </c>
      <c r="L85" s="68">
        <v>0</v>
      </c>
      <c r="M85" s="69">
        <v>110</v>
      </c>
    </row>
    <row r="86" spans="1:13" x14ac:dyDescent="0.25">
      <c r="A86" s="118" t="s">
        <v>118</v>
      </c>
      <c r="B86" s="68">
        <v>0</v>
      </c>
      <c r="C86" s="68">
        <v>20</v>
      </c>
      <c r="D86" s="68">
        <v>0</v>
      </c>
      <c r="E86" s="68">
        <v>28</v>
      </c>
      <c r="F86" s="68">
        <v>0</v>
      </c>
      <c r="G86" s="68">
        <v>61</v>
      </c>
      <c r="H86" s="68">
        <v>0</v>
      </c>
      <c r="I86" s="68">
        <v>36</v>
      </c>
      <c r="J86" s="68">
        <v>0</v>
      </c>
      <c r="K86" s="68">
        <v>68</v>
      </c>
      <c r="L86" s="68">
        <v>0</v>
      </c>
      <c r="M86" s="69">
        <v>130</v>
      </c>
    </row>
    <row r="87" spans="1:13" ht="15.75" thickBot="1" x14ac:dyDescent="0.3">
      <c r="A87" s="121" t="s">
        <v>119</v>
      </c>
      <c r="B87" s="86">
        <v>0</v>
      </c>
      <c r="C87" s="86">
        <v>16</v>
      </c>
      <c r="D87" s="86">
        <v>0</v>
      </c>
      <c r="E87" s="86">
        <v>19</v>
      </c>
      <c r="F87" s="86">
        <v>0</v>
      </c>
      <c r="G87" s="86">
        <v>8</v>
      </c>
      <c r="H87" s="86">
        <v>0</v>
      </c>
      <c r="I87" s="86">
        <v>10</v>
      </c>
      <c r="J87" s="86">
        <v>0</v>
      </c>
      <c r="K87" s="86">
        <v>10</v>
      </c>
      <c r="L87" s="86">
        <v>0</v>
      </c>
      <c r="M87" s="87">
        <v>16</v>
      </c>
    </row>
    <row r="88" spans="1:13" x14ac:dyDescent="0.25">
      <c r="A88" s="88" t="s">
        <v>120</v>
      </c>
      <c r="B88" s="122"/>
      <c r="C88" s="122"/>
      <c r="D88" s="122"/>
      <c r="E88" s="122"/>
      <c r="F88" s="123" t="s">
        <v>174</v>
      </c>
      <c r="G88" s="122"/>
      <c r="H88" s="122"/>
      <c r="I88" s="122"/>
      <c r="J88" s="122"/>
      <c r="K88" s="122"/>
      <c r="L88" s="122"/>
      <c r="M88" s="122"/>
    </row>
    <row r="89" spans="1:13" ht="15.75" thickBot="1" x14ac:dyDescent="0.3">
      <c r="A89" s="124" t="s">
        <v>175</v>
      </c>
    </row>
    <row r="90" spans="1:13" x14ac:dyDescent="0.25">
      <c r="A90" s="232" t="s">
        <v>176</v>
      </c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4"/>
    </row>
    <row r="91" spans="1:13" ht="15.75" thickBot="1" x14ac:dyDescent="0.3">
      <c r="A91" s="235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7"/>
    </row>
    <row r="92" spans="1:13" x14ac:dyDescent="0.25">
      <c r="A92" s="227" t="s">
        <v>79</v>
      </c>
      <c r="B92" s="229" t="s">
        <v>11</v>
      </c>
      <c r="C92" s="230"/>
      <c r="D92" s="229" t="s">
        <v>47</v>
      </c>
      <c r="E92" s="230"/>
      <c r="F92" s="229" t="s">
        <v>123</v>
      </c>
      <c r="G92" s="230"/>
      <c r="H92" s="229" t="s">
        <v>14</v>
      </c>
      <c r="I92" s="230"/>
      <c r="J92" s="229" t="s">
        <v>15</v>
      </c>
      <c r="K92" s="230"/>
      <c r="L92" s="229" t="s">
        <v>16</v>
      </c>
      <c r="M92" s="231"/>
    </row>
    <row r="93" spans="1:13" x14ac:dyDescent="0.25">
      <c r="A93" s="228"/>
      <c r="B93" s="110" t="s">
        <v>81</v>
      </c>
      <c r="C93" s="110" t="s">
        <v>82</v>
      </c>
      <c r="D93" s="110" t="s">
        <v>81</v>
      </c>
      <c r="E93" s="110" t="s">
        <v>82</v>
      </c>
      <c r="F93" s="110" t="s">
        <v>81</v>
      </c>
      <c r="G93" s="110" t="s">
        <v>82</v>
      </c>
      <c r="H93" s="110" t="s">
        <v>81</v>
      </c>
      <c r="I93" s="110" t="s">
        <v>82</v>
      </c>
      <c r="J93" s="110" t="s">
        <v>81</v>
      </c>
      <c r="K93" s="110" t="s">
        <v>82</v>
      </c>
      <c r="L93" s="110" t="s">
        <v>81</v>
      </c>
      <c r="M93" s="60" t="s">
        <v>82</v>
      </c>
    </row>
    <row r="94" spans="1:13" x14ac:dyDescent="0.25">
      <c r="A94" s="61" t="s">
        <v>83</v>
      </c>
      <c r="B94" s="62">
        <f>B95+B103+B108</f>
        <v>1281</v>
      </c>
      <c r="C94" s="62">
        <f t="shared" ref="C94:M94" si="13">C95+C103+C108</f>
        <v>245208</v>
      </c>
      <c r="D94" s="62">
        <f t="shared" si="13"/>
        <v>1198</v>
      </c>
      <c r="E94" s="62">
        <f t="shared" si="13"/>
        <v>227234</v>
      </c>
      <c r="F94" s="62">
        <f t="shared" si="13"/>
        <v>1445</v>
      </c>
      <c r="G94" s="62">
        <f t="shared" si="13"/>
        <v>138406</v>
      </c>
      <c r="H94" s="62">
        <f t="shared" si="13"/>
        <v>2194</v>
      </c>
      <c r="I94" s="62">
        <f t="shared" si="13"/>
        <v>328069</v>
      </c>
      <c r="J94" s="62">
        <f t="shared" si="13"/>
        <v>1544</v>
      </c>
      <c r="K94" s="62">
        <f t="shared" si="13"/>
        <v>226525</v>
      </c>
      <c r="L94" s="62">
        <f t="shared" si="13"/>
        <v>621</v>
      </c>
      <c r="M94" s="63">
        <f t="shared" si="13"/>
        <v>131581</v>
      </c>
    </row>
    <row r="95" spans="1:13" x14ac:dyDescent="0.25">
      <c r="A95" s="64" t="s">
        <v>89</v>
      </c>
      <c r="B95" s="65">
        <f>SUM(B96:B102)</f>
        <v>1000</v>
      </c>
      <c r="C95" s="65">
        <f>SUM(C96:C102)</f>
        <v>211832</v>
      </c>
      <c r="D95" s="65">
        <f>SUM(D96:D102)</f>
        <v>1009</v>
      </c>
      <c r="E95" s="65">
        <f>SUM(E96:E102)</f>
        <v>200171</v>
      </c>
      <c r="F95" s="65">
        <f>SUM(F96:F102)</f>
        <v>1041</v>
      </c>
      <c r="G95" s="65">
        <f t="shared" ref="G95:M95" si="14">SUM(G96:G102)</f>
        <v>107394</v>
      </c>
      <c r="H95" s="65">
        <f t="shared" si="14"/>
        <v>1292</v>
      </c>
      <c r="I95" s="65">
        <f t="shared" si="14"/>
        <v>256214</v>
      </c>
      <c r="J95" s="65">
        <f t="shared" si="14"/>
        <v>1010</v>
      </c>
      <c r="K95" s="65">
        <f t="shared" si="14"/>
        <v>197597</v>
      </c>
      <c r="L95" s="65">
        <f t="shared" si="14"/>
        <v>363</v>
      </c>
      <c r="M95" s="66">
        <f t="shared" si="14"/>
        <v>99580</v>
      </c>
    </row>
    <row r="96" spans="1:13" x14ac:dyDescent="0.25">
      <c r="A96" s="70" t="s">
        <v>124</v>
      </c>
      <c r="B96" s="68">
        <v>89</v>
      </c>
      <c r="C96" s="68">
        <v>5720</v>
      </c>
      <c r="D96" s="68">
        <v>95</v>
      </c>
      <c r="E96" s="68">
        <v>5665</v>
      </c>
      <c r="F96" s="68">
        <v>68</v>
      </c>
      <c r="G96" s="68">
        <v>4750</v>
      </c>
      <c r="H96" s="68">
        <v>71</v>
      </c>
      <c r="I96" s="68">
        <v>5797</v>
      </c>
      <c r="J96" s="68">
        <v>30</v>
      </c>
      <c r="K96" s="68">
        <v>7550</v>
      </c>
      <c r="L96" s="73"/>
      <c r="M96" s="74"/>
    </row>
    <row r="97" spans="1:13" x14ac:dyDescent="0.25">
      <c r="A97" s="72" t="s">
        <v>125</v>
      </c>
      <c r="B97" s="68">
        <v>300</v>
      </c>
      <c r="C97" s="68">
        <v>49900</v>
      </c>
      <c r="D97" s="68">
        <v>190</v>
      </c>
      <c r="E97" s="68">
        <v>42900</v>
      </c>
      <c r="F97" s="68">
        <v>110</v>
      </c>
      <c r="G97" s="68">
        <v>36500</v>
      </c>
      <c r="H97" s="68">
        <v>125</v>
      </c>
      <c r="I97" s="68">
        <v>46550</v>
      </c>
      <c r="J97" s="68">
        <v>40</v>
      </c>
      <c r="K97" s="68">
        <v>32800</v>
      </c>
      <c r="L97" s="73"/>
      <c r="M97" s="74"/>
    </row>
    <row r="98" spans="1:13" x14ac:dyDescent="0.25">
      <c r="A98" s="77" t="s">
        <v>92</v>
      </c>
      <c r="B98" s="71">
        <v>310</v>
      </c>
      <c r="C98" s="71">
        <v>109001</v>
      </c>
      <c r="D98" s="68">
        <v>241</v>
      </c>
      <c r="E98" s="68">
        <v>98654</v>
      </c>
      <c r="F98" s="68">
        <v>325</v>
      </c>
      <c r="G98" s="68">
        <v>16552</v>
      </c>
      <c r="H98" s="68">
        <v>78</v>
      </c>
      <c r="I98" s="68">
        <v>118220</v>
      </c>
      <c r="J98" s="68">
        <v>423</v>
      </c>
      <c r="K98" s="68">
        <v>83454</v>
      </c>
      <c r="L98" s="73"/>
      <c r="M98" s="74"/>
    </row>
    <row r="99" spans="1:13" x14ac:dyDescent="0.25">
      <c r="A99" s="72" t="s">
        <v>126</v>
      </c>
      <c r="B99" s="68">
        <v>32</v>
      </c>
      <c r="C99" s="68">
        <v>19250</v>
      </c>
      <c r="D99" s="83">
        <v>26</v>
      </c>
      <c r="E99" s="83">
        <v>19070</v>
      </c>
      <c r="F99" s="68">
        <v>30</v>
      </c>
      <c r="G99" s="68">
        <v>14156</v>
      </c>
      <c r="H99" s="68">
        <v>49</v>
      </c>
      <c r="I99" s="68">
        <v>33514</v>
      </c>
      <c r="J99" s="68">
        <v>70</v>
      </c>
      <c r="K99" s="68">
        <v>28250</v>
      </c>
      <c r="L99" s="68">
        <v>23</v>
      </c>
      <c r="M99" s="69">
        <v>30851</v>
      </c>
    </row>
    <row r="100" spans="1:13" x14ac:dyDescent="0.25">
      <c r="A100" s="72" t="s">
        <v>127</v>
      </c>
      <c r="B100" s="68">
        <v>59</v>
      </c>
      <c r="C100" s="68">
        <v>10652</v>
      </c>
      <c r="D100" s="68">
        <v>98</v>
      </c>
      <c r="E100" s="68">
        <v>11419</v>
      </c>
      <c r="F100" s="68">
        <v>141</v>
      </c>
      <c r="G100" s="68">
        <v>10413</v>
      </c>
      <c r="H100" s="68">
        <v>98</v>
      </c>
      <c r="I100" s="68">
        <v>20279</v>
      </c>
      <c r="J100" s="68">
        <v>63</v>
      </c>
      <c r="K100" s="68">
        <v>9480</v>
      </c>
      <c r="L100" s="68">
        <v>20</v>
      </c>
      <c r="M100" s="69">
        <v>12805</v>
      </c>
    </row>
    <row r="101" spans="1:13" x14ac:dyDescent="0.25">
      <c r="A101" s="72" t="s">
        <v>128</v>
      </c>
      <c r="B101" s="68">
        <v>197</v>
      </c>
      <c r="C101" s="68">
        <v>11496</v>
      </c>
      <c r="D101" s="68">
        <v>340</v>
      </c>
      <c r="E101" s="68">
        <v>13400</v>
      </c>
      <c r="F101" s="68">
        <v>350</v>
      </c>
      <c r="G101" s="68">
        <v>14326</v>
      </c>
      <c r="H101" s="68">
        <v>867</v>
      </c>
      <c r="I101" s="68">
        <v>19174</v>
      </c>
      <c r="J101" s="68">
        <v>384</v>
      </c>
      <c r="K101" s="75">
        <v>20640</v>
      </c>
      <c r="L101" s="68">
        <v>319</v>
      </c>
      <c r="M101" s="69">
        <v>30254</v>
      </c>
    </row>
    <row r="102" spans="1:13" x14ac:dyDescent="0.25">
      <c r="A102" s="72" t="s">
        <v>129</v>
      </c>
      <c r="B102" s="68">
        <v>13</v>
      </c>
      <c r="C102" s="68">
        <v>5813</v>
      </c>
      <c r="D102" s="68">
        <v>19</v>
      </c>
      <c r="E102" s="68">
        <v>9063</v>
      </c>
      <c r="F102" s="68">
        <v>17</v>
      </c>
      <c r="G102" s="68">
        <v>10697</v>
      </c>
      <c r="H102" s="68">
        <v>4</v>
      </c>
      <c r="I102" s="68">
        <v>12680</v>
      </c>
      <c r="J102" s="68">
        <v>0</v>
      </c>
      <c r="K102" s="68">
        <v>15423</v>
      </c>
      <c r="L102" s="68">
        <v>1</v>
      </c>
      <c r="M102" s="69">
        <v>25670</v>
      </c>
    </row>
    <row r="103" spans="1:13" x14ac:dyDescent="0.25">
      <c r="A103" s="64" t="s">
        <v>97</v>
      </c>
      <c r="B103" s="65">
        <f>SUM(B104:B107)</f>
        <v>138</v>
      </c>
      <c r="C103" s="65">
        <f t="shared" ref="C103:M103" si="15">SUM(C104:C107)</f>
        <v>21605</v>
      </c>
      <c r="D103" s="65">
        <f t="shared" si="15"/>
        <v>46</v>
      </c>
      <c r="E103" s="65">
        <f t="shared" si="15"/>
        <v>14788</v>
      </c>
      <c r="F103" s="65">
        <f t="shared" si="15"/>
        <v>158</v>
      </c>
      <c r="G103" s="65">
        <f t="shared" si="15"/>
        <v>22516</v>
      </c>
      <c r="H103" s="65">
        <f t="shared" si="15"/>
        <v>118</v>
      </c>
      <c r="I103" s="65">
        <f t="shared" si="15"/>
        <v>37314</v>
      </c>
      <c r="J103" s="65">
        <f t="shared" si="15"/>
        <v>43</v>
      </c>
      <c r="K103" s="65">
        <f t="shared" si="15"/>
        <v>18853</v>
      </c>
      <c r="L103" s="65">
        <f t="shared" si="15"/>
        <v>22</v>
      </c>
      <c r="M103" s="66">
        <f t="shared" si="15"/>
        <v>22884</v>
      </c>
    </row>
    <row r="104" spans="1:13" x14ac:dyDescent="0.25">
      <c r="A104" s="72" t="s">
        <v>130</v>
      </c>
      <c r="B104" s="68">
        <v>7</v>
      </c>
      <c r="C104" s="68">
        <f>885+170</f>
        <v>1055</v>
      </c>
      <c r="D104" s="68">
        <v>17</v>
      </c>
      <c r="E104" s="68">
        <f>905+310</f>
        <v>1215</v>
      </c>
      <c r="F104" s="68">
        <v>70</v>
      </c>
      <c r="G104" s="68">
        <f>805+270</f>
        <v>1075</v>
      </c>
      <c r="H104" s="68">
        <v>42</v>
      </c>
      <c r="I104" s="68">
        <f>2640+390</f>
        <v>3030</v>
      </c>
      <c r="J104" s="68">
        <v>17</v>
      </c>
      <c r="K104" s="68">
        <f>1290+470</f>
        <v>1760</v>
      </c>
      <c r="L104" s="68">
        <v>4</v>
      </c>
      <c r="M104" s="69">
        <f>2980</f>
        <v>2980</v>
      </c>
    </row>
    <row r="105" spans="1:13" x14ac:dyDescent="0.25">
      <c r="A105" s="72" t="s">
        <v>131</v>
      </c>
      <c r="B105" s="68">
        <v>89</v>
      </c>
      <c r="C105" s="68">
        <v>6000</v>
      </c>
      <c r="D105" s="73"/>
      <c r="E105" s="73"/>
      <c r="F105" s="68">
        <v>29</v>
      </c>
      <c r="G105" s="68">
        <v>5300</v>
      </c>
      <c r="H105" s="68">
        <v>22</v>
      </c>
      <c r="I105" s="68">
        <v>4730</v>
      </c>
      <c r="J105" s="68">
        <v>18</v>
      </c>
      <c r="K105" s="68">
        <v>3922</v>
      </c>
      <c r="L105" s="68">
        <v>14</v>
      </c>
      <c r="M105" s="69">
        <v>6119</v>
      </c>
    </row>
    <row r="106" spans="1:13" x14ac:dyDescent="0.25">
      <c r="A106" s="72" t="s">
        <v>132</v>
      </c>
      <c r="B106" s="68">
        <v>32</v>
      </c>
      <c r="C106" s="68">
        <v>10076</v>
      </c>
      <c r="D106" s="68">
        <v>28</v>
      </c>
      <c r="E106" s="68">
        <v>9870</v>
      </c>
      <c r="F106" s="68">
        <v>58</v>
      </c>
      <c r="G106" s="68">
        <v>9257</v>
      </c>
      <c r="H106" s="68">
        <v>54</v>
      </c>
      <c r="I106" s="68">
        <v>20730</v>
      </c>
      <c r="J106" s="68">
        <v>8</v>
      </c>
      <c r="K106" s="68">
        <v>8980</v>
      </c>
      <c r="L106" s="68">
        <v>4</v>
      </c>
      <c r="M106" s="69">
        <v>8183</v>
      </c>
    </row>
    <row r="107" spans="1:13" x14ac:dyDescent="0.25">
      <c r="A107" s="72" t="s">
        <v>133</v>
      </c>
      <c r="B107" s="68">
        <v>10</v>
      </c>
      <c r="C107" s="68">
        <f>2018+2217+205+34</f>
        <v>4474</v>
      </c>
      <c r="D107" s="68">
        <v>1</v>
      </c>
      <c r="E107" s="68">
        <f>1810+1650+208+35</f>
        <v>3703</v>
      </c>
      <c r="F107" s="68">
        <v>1</v>
      </c>
      <c r="G107" s="68">
        <f>3135+3515+207+27</f>
        <v>6884</v>
      </c>
      <c r="H107" s="68">
        <v>0</v>
      </c>
      <c r="I107" s="68">
        <f>3985+4682+138+19</f>
        <v>8824</v>
      </c>
      <c r="J107" s="68">
        <v>0</v>
      </c>
      <c r="K107" s="68">
        <f>1922+2148+109+12</f>
        <v>4191</v>
      </c>
      <c r="L107" s="68">
        <v>0</v>
      </c>
      <c r="M107" s="69">
        <f>2976+2529+89+8</f>
        <v>5602</v>
      </c>
    </row>
    <row r="108" spans="1:13" x14ac:dyDescent="0.25">
      <c r="A108" s="64" t="s">
        <v>105</v>
      </c>
      <c r="B108" s="65">
        <f>SUM(B109:B121)</f>
        <v>143</v>
      </c>
      <c r="C108" s="65">
        <f t="shared" ref="C108:M108" si="16">SUM(C109:C121)</f>
        <v>11771</v>
      </c>
      <c r="D108" s="65">
        <f t="shared" si="16"/>
        <v>143</v>
      </c>
      <c r="E108" s="65">
        <f t="shared" si="16"/>
        <v>12275</v>
      </c>
      <c r="F108" s="65">
        <f t="shared" si="16"/>
        <v>246</v>
      </c>
      <c r="G108" s="65">
        <f t="shared" si="16"/>
        <v>8496</v>
      </c>
      <c r="H108" s="65">
        <f t="shared" si="16"/>
        <v>784</v>
      </c>
      <c r="I108" s="65">
        <f t="shared" si="16"/>
        <v>34541</v>
      </c>
      <c r="J108" s="65">
        <f t="shared" si="16"/>
        <v>491</v>
      </c>
      <c r="K108" s="65">
        <f t="shared" si="16"/>
        <v>10075</v>
      </c>
      <c r="L108" s="65">
        <f t="shared" si="16"/>
        <v>236</v>
      </c>
      <c r="M108" s="66">
        <f t="shared" si="16"/>
        <v>9117</v>
      </c>
    </row>
    <row r="109" spans="1:13" x14ac:dyDescent="0.25">
      <c r="A109" s="72" t="s">
        <v>134</v>
      </c>
      <c r="B109" s="68">
        <v>41</v>
      </c>
      <c r="C109" s="68">
        <f>1300+5500+2000</f>
        <v>8800</v>
      </c>
      <c r="D109" s="68">
        <v>52</v>
      </c>
      <c r="E109" s="68">
        <f>2200+5000+2000</f>
        <v>9200</v>
      </c>
      <c r="F109" s="68">
        <v>76</v>
      </c>
      <c r="G109" s="68">
        <f>1000+3000+1000</f>
        <v>5000</v>
      </c>
      <c r="H109" s="68">
        <v>224</v>
      </c>
      <c r="I109" s="68">
        <f>3200+18000+8000</f>
        <v>29200</v>
      </c>
      <c r="J109" s="68">
        <v>150</v>
      </c>
      <c r="K109" s="68">
        <f>600+5000+2000</f>
        <v>7600</v>
      </c>
      <c r="L109" s="68">
        <v>94</v>
      </c>
      <c r="M109" s="69">
        <f>1180+3718+2000</f>
        <v>6898</v>
      </c>
    </row>
    <row r="110" spans="1:13" x14ac:dyDescent="0.25">
      <c r="A110" s="72" t="s">
        <v>135</v>
      </c>
      <c r="B110" s="68">
        <v>5</v>
      </c>
      <c r="C110" s="68">
        <f>4+22+15</f>
        <v>41</v>
      </c>
      <c r="D110" s="68">
        <v>2</v>
      </c>
      <c r="E110" s="68">
        <f>15+5+10</f>
        <v>30</v>
      </c>
      <c r="F110" s="75">
        <v>2</v>
      </c>
      <c r="G110" s="68">
        <v>22</v>
      </c>
      <c r="H110" s="68">
        <v>25</v>
      </c>
      <c r="I110" s="68">
        <v>13</v>
      </c>
      <c r="J110" s="68">
        <v>22</v>
      </c>
      <c r="K110" s="68">
        <v>12</v>
      </c>
      <c r="L110" s="68">
        <v>5</v>
      </c>
      <c r="M110" s="69">
        <f>33+10+20</f>
        <v>63</v>
      </c>
    </row>
    <row r="111" spans="1:13" x14ac:dyDescent="0.25">
      <c r="A111" s="72" t="s">
        <v>136</v>
      </c>
      <c r="B111" s="68">
        <v>76</v>
      </c>
      <c r="C111" s="68">
        <f>201+313+342</f>
        <v>856</v>
      </c>
      <c r="D111" s="68">
        <v>58</v>
      </c>
      <c r="E111" s="68">
        <f>269+276+314</f>
        <v>859</v>
      </c>
      <c r="F111" s="68">
        <v>124</v>
      </c>
      <c r="G111" s="68">
        <f>91+181+222+124</f>
        <v>618</v>
      </c>
      <c r="H111" s="68">
        <v>490</v>
      </c>
      <c r="I111" s="68">
        <f>25+265+337</f>
        <v>627</v>
      </c>
      <c r="J111" s="68">
        <v>149</v>
      </c>
      <c r="K111" s="68">
        <f>152+198+235</f>
        <v>585</v>
      </c>
      <c r="L111" s="68">
        <v>82</v>
      </c>
      <c r="M111" s="69">
        <f>185+150+193</f>
        <v>528</v>
      </c>
    </row>
    <row r="112" spans="1:13" x14ac:dyDescent="0.25">
      <c r="A112" s="72" t="s">
        <v>137</v>
      </c>
      <c r="B112" s="68">
        <v>12</v>
      </c>
      <c r="C112" s="68">
        <f>91+208+150</f>
        <v>449</v>
      </c>
      <c r="D112" s="68">
        <v>31</v>
      </c>
      <c r="E112" s="68">
        <f>220+130+125</f>
        <v>475</v>
      </c>
      <c r="F112" s="68">
        <v>33</v>
      </c>
      <c r="G112" s="68">
        <f>300+380+220</f>
        <v>900</v>
      </c>
      <c r="H112" s="68">
        <v>24</v>
      </c>
      <c r="I112" s="68">
        <f>68+120+58</f>
        <v>246</v>
      </c>
      <c r="J112" s="68">
        <v>98</v>
      </c>
      <c r="K112" s="68">
        <f>98+89+90</f>
        <v>277</v>
      </c>
      <c r="L112" s="68">
        <v>32</v>
      </c>
      <c r="M112" s="69">
        <f>100+75+46</f>
        <v>221</v>
      </c>
    </row>
    <row r="113" spans="1:13" x14ac:dyDescent="0.25">
      <c r="A113" s="72" t="s">
        <v>138</v>
      </c>
      <c r="B113" s="68">
        <v>1</v>
      </c>
      <c r="C113" s="68">
        <f>100+500+300</f>
        <v>900</v>
      </c>
      <c r="D113" s="68">
        <v>0</v>
      </c>
      <c r="E113" s="68">
        <f>200+200+600</f>
        <v>1000</v>
      </c>
      <c r="F113" s="68">
        <v>0</v>
      </c>
      <c r="G113" s="68">
        <f>100+650+250</f>
        <v>1000</v>
      </c>
      <c r="H113" s="68">
        <v>3</v>
      </c>
      <c r="I113" s="68">
        <f>500+1100+1500</f>
        <v>3100</v>
      </c>
      <c r="J113" s="68">
        <v>9</v>
      </c>
      <c r="K113" s="68">
        <f>100+450+150</f>
        <v>700</v>
      </c>
      <c r="L113" s="68">
        <v>4</v>
      </c>
      <c r="M113" s="69">
        <f>121+220+243</f>
        <v>584</v>
      </c>
    </row>
    <row r="114" spans="1:13" x14ac:dyDescent="0.25">
      <c r="A114" s="72" t="s">
        <v>139</v>
      </c>
      <c r="B114" s="68">
        <v>3</v>
      </c>
      <c r="C114" s="68">
        <f>100+60+40</f>
        <v>200</v>
      </c>
      <c r="D114" s="68">
        <v>0</v>
      </c>
      <c r="E114" s="68">
        <f>200+60+40</f>
        <v>300</v>
      </c>
      <c r="F114" s="68">
        <v>4</v>
      </c>
      <c r="G114" s="68">
        <f>100+60+40</f>
        <v>200</v>
      </c>
      <c r="H114" s="68">
        <v>2</v>
      </c>
      <c r="I114" s="68">
        <f>300+400+200</f>
        <v>900</v>
      </c>
      <c r="J114" s="68">
        <v>6</v>
      </c>
      <c r="K114" s="68">
        <v>200</v>
      </c>
      <c r="L114" s="68">
        <v>1</v>
      </c>
      <c r="M114" s="69">
        <f>100+40+60</f>
        <v>200</v>
      </c>
    </row>
    <row r="115" spans="1:13" x14ac:dyDescent="0.25">
      <c r="A115" s="72" t="s">
        <v>140</v>
      </c>
      <c r="B115" s="78"/>
      <c r="C115" s="78"/>
      <c r="D115" s="78"/>
      <c r="E115" s="78"/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76">
        <v>13</v>
      </c>
      <c r="L115" s="76">
        <v>0</v>
      </c>
      <c r="M115" s="84">
        <f>5+5+8</f>
        <v>18</v>
      </c>
    </row>
    <row r="116" spans="1:13" x14ac:dyDescent="0.25">
      <c r="A116" s="72" t="s">
        <v>141</v>
      </c>
      <c r="B116" s="76">
        <v>5</v>
      </c>
      <c r="C116" s="76">
        <f>296+17</f>
        <v>313</v>
      </c>
      <c r="D116" s="76">
        <v>0</v>
      </c>
      <c r="E116" s="76">
        <f>104+17</f>
        <v>121</v>
      </c>
      <c r="F116" s="76">
        <v>4</v>
      </c>
      <c r="G116" s="76">
        <f>300+39+0</f>
        <v>339</v>
      </c>
      <c r="H116" s="76">
        <v>12</v>
      </c>
      <c r="I116" s="76">
        <f>0+42+19</f>
        <v>61</v>
      </c>
      <c r="J116" s="76">
        <v>13</v>
      </c>
      <c r="K116" s="76">
        <f>340+12</f>
        <v>352</v>
      </c>
      <c r="L116" s="76">
        <v>2</v>
      </c>
      <c r="M116" s="84">
        <f>289+30</f>
        <v>319</v>
      </c>
    </row>
    <row r="117" spans="1:13" x14ac:dyDescent="0.25">
      <c r="A117" s="72" t="s">
        <v>142</v>
      </c>
      <c r="B117" s="76">
        <v>0</v>
      </c>
      <c r="C117" s="76">
        <f>42+13</f>
        <v>55</v>
      </c>
      <c r="D117" s="76">
        <v>0</v>
      </c>
      <c r="E117" s="76">
        <f>51+59</f>
        <v>110</v>
      </c>
      <c r="F117" s="76">
        <v>0</v>
      </c>
      <c r="G117" s="76">
        <f>118+111</f>
        <v>229</v>
      </c>
      <c r="H117" s="76">
        <v>0</v>
      </c>
      <c r="I117" s="76">
        <f>47+140</f>
        <v>187</v>
      </c>
      <c r="J117" s="76">
        <v>17</v>
      </c>
      <c r="K117" s="76">
        <v>180</v>
      </c>
      <c r="L117" s="76">
        <v>2</v>
      </c>
      <c r="M117" s="84">
        <f>108+63</f>
        <v>171</v>
      </c>
    </row>
    <row r="118" spans="1:13" x14ac:dyDescent="0.25">
      <c r="A118" s="72" t="s">
        <v>143</v>
      </c>
      <c r="B118" s="76">
        <v>0</v>
      </c>
      <c r="C118" s="76">
        <v>29</v>
      </c>
      <c r="D118" s="76">
        <v>0</v>
      </c>
      <c r="E118" s="76">
        <f>11+13</f>
        <v>24</v>
      </c>
      <c r="F118" s="76">
        <v>3</v>
      </c>
      <c r="G118" s="76">
        <f>31+29</f>
        <v>60</v>
      </c>
      <c r="H118" s="76">
        <v>4</v>
      </c>
      <c r="I118" s="76">
        <f>35+9</f>
        <v>44</v>
      </c>
      <c r="J118" s="76">
        <v>27</v>
      </c>
      <c r="K118" s="76">
        <f>18+28</f>
        <v>46</v>
      </c>
      <c r="L118" s="76">
        <v>8</v>
      </c>
      <c r="M118" s="84">
        <f>20+26</f>
        <v>46</v>
      </c>
    </row>
    <row r="119" spans="1:13" x14ac:dyDescent="0.25">
      <c r="A119" s="72" t="s">
        <v>144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111"/>
    </row>
    <row r="120" spans="1:13" x14ac:dyDescent="0.25">
      <c r="A120" s="72" t="s">
        <v>145</v>
      </c>
      <c r="B120" s="68">
        <v>0</v>
      </c>
      <c r="C120" s="68">
        <v>9</v>
      </c>
      <c r="D120" s="68">
        <v>0</v>
      </c>
      <c r="E120" s="68">
        <v>17</v>
      </c>
      <c r="F120" s="68">
        <v>0</v>
      </c>
      <c r="G120" s="68">
        <f>0+10+10</f>
        <v>20</v>
      </c>
      <c r="H120" s="68">
        <v>0</v>
      </c>
      <c r="I120" s="68">
        <v>12</v>
      </c>
      <c r="J120" s="68">
        <v>0</v>
      </c>
      <c r="K120" s="68">
        <v>5</v>
      </c>
      <c r="L120" s="68">
        <v>6</v>
      </c>
      <c r="M120" s="69">
        <f>16+17</f>
        <v>33</v>
      </c>
    </row>
    <row r="121" spans="1:13" x14ac:dyDescent="0.25">
      <c r="A121" s="72" t="s">
        <v>146</v>
      </c>
      <c r="B121" s="68">
        <v>0</v>
      </c>
      <c r="C121" s="68">
        <f>13+106</f>
        <v>119</v>
      </c>
      <c r="D121" s="68">
        <v>0</v>
      </c>
      <c r="E121" s="68">
        <f>19+120</f>
        <v>139</v>
      </c>
      <c r="F121" s="68">
        <v>0</v>
      </c>
      <c r="G121" s="68">
        <f>0+93+15</f>
        <v>108</v>
      </c>
      <c r="H121" s="68">
        <v>0</v>
      </c>
      <c r="I121" s="68">
        <f>10+141</f>
        <v>151</v>
      </c>
      <c r="J121" s="68">
        <v>0</v>
      </c>
      <c r="K121" s="68">
        <f>15+90</f>
        <v>105</v>
      </c>
      <c r="L121" s="68">
        <v>0</v>
      </c>
      <c r="M121" s="69">
        <v>36</v>
      </c>
    </row>
    <row r="122" spans="1:13" x14ac:dyDescent="0.25">
      <c r="A122" s="64" t="s">
        <v>116</v>
      </c>
      <c r="B122" s="65">
        <f>SUM(B123:B124)</f>
        <v>0</v>
      </c>
      <c r="C122" s="65">
        <f t="shared" ref="C122:M122" si="17">SUM(C123:C124)</f>
        <v>478</v>
      </c>
      <c r="D122" s="65">
        <f t="shared" si="17"/>
        <v>0</v>
      </c>
      <c r="E122" s="65">
        <f t="shared" si="17"/>
        <v>398</v>
      </c>
      <c r="F122" s="65">
        <f t="shared" si="17"/>
        <v>0</v>
      </c>
      <c r="G122" s="65">
        <f t="shared" si="17"/>
        <v>547</v>
      </c>
      <c r="H122" s="65">
        <f t="shared" si="17"/>
        <v>0</v>
      </c>
      <c r="I122" s="65">
        <f t="shared" si="17"/>
        <v>392</v>
      </c>
      <c r="J122" s="65">
        <f t="shared" si="17"/>
        <v>0</v>
      </c>
      <c r="K122" s="65">
        <f t="shared" si="17"/>
        <v>406</v>
      </c>
      <c r="L122" s="65">
        <f t="shared" si="17"/>
        <v>0</v>
      </c>
      <c r="M122" s="66">
        <f t="shared" si="17"/>
        <v>418</v>
      </c>
    </row>
    <row r="123" spans="1:13" x14ac:dyDescent="0.25">
      <c r="A123" s="70" t="s">
        <v>147</v>
      </c>
      <c r="B123" s="68">
        <v>0</v>
      </c>
      <c r="C123" s="68">
        <v>13</v>
      </c>
      <c r="D123" s="68">
        <v>0</v>
      </c>
      <c r="E123" s="68">
        <v>18</v>
      </c>
      <c r="F123" s="68">
        <v>0</v>
      </c>
      <c r="G123" s="68">
        <v>28</v>
      </c>
      <c r="H123" s="68">
        <v>0</v>
      </c>
      <c r="I123" s="68">
        <v>12</v>
      </c>
      <c r="J123" s="68">
        <v>0</v>
      </c>
      <c r="K123" s="68">
        <v>8</v>
      </c>
      <c r="L123" s="68">
        <v>0</v>
      </c>
      <c r="M123" s="69">
        <v>11</v>
      </c>
    </row>
    <row r="124" spans="1:13" ht="15.75" thickBot="1" x14ac:dyDescent="0.3">
      <c r="A124" s="85" t="s">
        <v>148</v>
      </c>
      <c r="B124" s="86">
        <v>0</v>
      </c>
      <c r="C124" s="86">
        <v>465</v>
      </c>
      <c r="D124" s="86">
        <v>0</v>
      </c>
      <c r="E124" s="86">
        <v>380</v>
      </c>
      <c r="F124" s="86">
        <v>0</v>
      </c>
      <c r="G124" s="86">
        <v>519</v>
      </c>
      <c r="H124" s="86">
        <v>0</v>
      </c>
      <c r="I124" s="86">
        <v>380</v>
      </c>
      <c r="J124" s="86">
        <v>0</v>
      </c>
      <c r="K124" s="86">
        <v>398</v>
      </c>
      <c r="L124" s="86">
        <v>0</v>
      </c>
      <c r="M124" s="87">
        <v>407</v>
      </c>
    </row>
    <row r="125" spans="1:13" x14ac:dyDescent="0.25">
      <c r="A125" s="88" t="s">
        <v>120</v>
      </c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t="s">
        <v>149</v>
      </c>
    </row>
    <row r="126" spans="1:13" x14ac:dyDescent="0.25">
      <c r="A126" s="124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</row>
    <row r="127" spans="1:13" ht="15.75" thickBot="1" x14ac:dyDescent="0.3">
      <c r="A127" s="124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</row>
    <row r="128" spans="1:13" x14ac:dyDescent="0.25">
      <c r="A128" s="221" t="s">
        <v>176</v>
      </c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3"/>
    </row>
    <row r="129" spans="1:13" ht="15.75" thickBot="1" x14ac:dyDescent="0.3">
      <c r="A129" s="224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6"/>
    </row>
    <row r="130" spans="1:13" x14ac:dyDescent="0.25">
      <c r="A130" s="227" t="s">
        <v>79</v>
      </c>
      <c r="B130" s="229" t="s">
        <v>17</v>
      </c>
      <c r="C130" s="230"/>
      <c r="D130" s="229" t="s">
        <v>177</v>
      </c>
      <c r="E130" s="230"/>
      <c r="F130" s="229" t="s">
        <v>19</v>
      </c>
      <c r="G130" s="230"/>
      <c r="H130" s="229" t="s">
        <v>20</v>
      </c>
      <c r="I130" s="230"/>
      <c r="J130" s="229" t="s">
        <v>21</v>
      </c>
      <c r="K130" s="230"/>
      <c r="L130" s="229" t="s">
        <v>22</v>
      </c>
      <c r="M130" s="231"/>
    </row>
    <row r="131" spans="1:13" x14ac:dyDescent="0.25">
      <c r="A131" s="228"/>
      <c r="B131" s="110" t="s">
        <v>81</v>
      </c>
      <c r="C131" s="110" t="s">
        <v>82</v>
      </c>
      <c r="D131" s="110" t="s">
        <v>81</v>
      </c>
      <c r="E131" s="110" t="s">
        <v>82</v>
      </c>
      <c r="F131" s="110" t="s">
        <v>81</v>
      </c>
      <c r="G131" s="110" t="s">
        <v>82</v>
      </c>
      <c r="H131" s="110" t="s">
        <v>81</v>
      </c>
      <c r="I131" s="110" t="s">
        <v>82</v>
      </c>
      <c r="J131" s="110" t="s">
        <v>81</v>
      </c>
      <c r="K131" s="110" t="s">
        <v>82</v>
      </c>
      <c r="L131" s="110" t="s">
        <v>81</v>
      </c>
      <c r="M131" s="60" t="s">
        <v>82</v>
      </c>
    </row>
    <row r="132" spans="1:13" x14ac:dyDescent="0.25">
      <c r="A132" s="61" t="s">
        <v>83</v>
      </c>
      <c r="B132" s="62">
        <f>B133+B141+B146</f>
        <v>683</v>
      </c>
      <c r="C132" s="62">
        <f t="shared" ref="C132:M132" si="18">C133+C141+C146</f>
        <v>152904</v>
      </c>
      <c r="D132" s="62">
        <f t="shared" si="18"/>
        <v>1486</v>
      </c>
      <c r="E132" s="62">
        <f t="shared" si="18"/>
        <v>122799</v>
      </c>
      <c r="F132" s="62">
        <f t="shared" si="18"/>
        <v>1280</v>
      </c>
      <c r="G132" s="62">
        <f t="shared" si="18"/>
        <v>61977</v>
      </c>
      <c r="H132" s="62">
        <f t="shared" si="18"/>
        <v>2744</v>
      </c>
      <c r="I132" s="62">
        <f t="shared" si="18"/>
        <v>73870</v>
      </c>
      <c r="J132" s="62">
        <f t="shared" si="18"/>
        <v>1358</v>
      </c>
      <c r="K132" s="62">
        <f t="shared" si="18"/>
        <v>80956</v>
      </c>
      <c r="L132" s="62">
        <f t="shared" si="18"/>
        <v>1069</v>
      </c>
      <c r="M132" s="63">
        <f t="shared" si="18"/>
        <v>101688</v>
      </c>
    </row>
    <row r="133" spans="1:13" x14ac:dyDescent="0.25">
      <c r="A133" s="64" t="s">
        <v>89</v>
      </c>
      <c r="B133" s="65">
        <f>SUM(B134:B140)</f>
        <v>347</v>
      </c>
      <c r="C133" s="65">
        <f t="shared" ref="C133:M133" si="19">SUM(C134:C140)</f>
        <v>113493</v>
      </c>
      <c r="D133" s="65">
        <f t="shared" si="19"/>
        <v>566</v>
      </c>
      <c r="E133" s="65">
        <f t="shared" si="19"/>
        <v>87314</v>
      </c>
      <c r="F133" s="65">
        <f t="shared" si="19"/>
        <v>520</v>
      </c>
      <c r="G133" s="65">
        <f t="shared" si="19"/>
        <v>39178</v>
      </c>
      <c r="H133" s="65">
        <f t="shared" si="19"/>
        <v>1118</v>
      </c>
      <c r="I133" s="65">
        <f t="shared" si="19"/>
        <v>49655</v>
      </c>
      <c r="J133" s="65">
        <f t="shared" si="19"/>
        <v>519</v>
      </c>
      <c r="K133" s="65">
        <f t="shared" si="19"/>
        <v>51233</v>
      </c>
      <c r="L133" s="65">
        <f t="shared" si="19"/>
        <v>432</v>
      </c>
      <c r="M133" s="66">
        <f t="shared" si="19"/>
        <v>60282</v>
      </c>
    </row>
    <row r="134" spans="1:13" x14ac:dyDescent="0.25">
      <c r="A134" s="118" t="s">
        <v>178</v>
      </c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4"/>
    </row>
    <row r="135" spans="1:13" x14ac:dyDescent="0.25">
      <c r="A135" s="77" t="s">
        <v>179</v>
      </c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4"/>
    </row>
    <row r="136" spans="1:13" x14ac:dyDescent="0.25">
      <c r="A136" s="77" t="s">
        <v>92</v>
      </c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4"/>
    </row>
    <row r="137" spans="1:13" x14ac:dyDescent="0.25">
      <c r="A137" s="77" t="s">
        <v>180</v>
      </c>
      <c r="B137" s="71">
        <v>37</v>
      </c>
      <c r="C137" s="71">
        <v>30840</v>
      </c>
      <c r="D137" s="71">
        <v>49</v>
      </c>
      <c r="E137" s="71">
        <v>20102</v>
      </c>
      <c r="F137" s="71">
        <v>39</v>
      </c>
      <c r="G137" s="71">
        <v>21680</v>
      </c>
      <c r="H137" s="71">
        <v>39</v>
      </c>
      <c r="I137" s="71">
        <v>18340</v>
      </c>
      <c r="J137" s="71">
        <v>61</v>
      </c>
      <c r="K137" s="71">
        <v>26612</v>
      </c>
      <c r="L137" s="71">
        <v>63</v>
      </c>
      <c r="M137" s="117">
        <v>29944</v>
      </c>
    </row>
    <row r="138" spans="1:13" x14ac:dyDescent="0.25">
      <c r="A138" s="77" t="s">
        <v>127</v>
      </c>
      <c r="B138" s="71">
        <v>27</v>
      </c>
      <c r="C138" s="71">
        <v>14622</v>
      </c>
      <c r="D138" s="71">
        <v>10</v>
      </c>
      <c r="E138" s="71">
        <v>9660</v>
      </c>
      <c r="F138" s="71">
        <v>30</v>
      </c>
      <c r="G138" s="71">
        <v>2575</v>
      </c>
      <c r="H138" s="119">
        <v>150</v>
      </c>
      <c r="I138" s="119">
        <v>14645</v>
      </c>
      <c r="J138" s="119">
        <v>43</v>
      </c>
      <c r="K138" s="119">
        <v>10400</v>
      </c>
      <c r="L138" s="71">
        <v>43</v>
      </c>
      <c r="M138" s="117">
        <v>10138</v>
      </c>
    </row>
    <row r="139" spans="1:13" x14ac:dyDescent="0.25">
      <c r="A139" s="77" t="s">
        <v>181</v>
      </c>
      <c r="B139" s="71">
        <v>0</v>
      </c>
      <c r="C139" s="71">
        <v>29016</v>
      </c>
      <c r="D139" s="71">
        <v>10</v>
      </c>
      <c r="E139" s="71">
        <v>25715</v>
      </c>
      <c r="F139" s="71">
        <v>0</v>
      </c>
      <c r="G139" s="71">
        <v>5349</v>
      </c>
      <c r="H139" s="119">
        <v>15</v>
      </c>
      <c r="I139" s="119">
        <v>6149</v>
      </c>
      <c r="J139" s="119">
        <v>8</v>
      </c>
      <c r="K139" s="119">
        <v>4883</v>
      </c>
      <c r="L139" s="71">
        <v>4</v>
      </c>
      <c r="M139" s="117">
        <v>6331</v>
      </c>
    </row>
    <row r="140" spans="1:13" x14ac:dyDescent="0.25">
      <c r="A140" s="77" t="s">
        <v>128</v>
      </c>
      <c r="B140" s="71">
        <v>283</v>
      </c>
      <c r="C140" s="71">
        <v>39015</v>
      </c>
      <c r="D140" s="71">
        <v>497</v>
      </c>
      <c r="E140" s="71">
        <v>31837</v>
      </c>
      <c r="F140" s="71">
        <v>451</v>
      </c>
      <c r="G140" s="71">
        <v>9574</v>
      </c>
      <c r="H140" s="71">
        <v>914</v>
      </c>
      <c r="I140" s="71">
        <v>10521</v>
      </c>
      <c r="J140" s="71">
        <v>407</v>
      </c>
      <c r="K140" s="71">
        <v>9338</v>
      </c>
      <c r="L140" s="71">
        <v>322</v>
      </c>
      <c r="M140" s="117">
        <v>13869</v>
      </c>
    </row>
    <row r="141" spans="1:13" x14ac:dyDescent="0.25">
      <c r="A141" s="64" t="s">
        <v>97</v>
      </c>
      <c r="B141" s="65">
        <f>SUM(B142:B145)</f>
        <v>44</v>
      </c>
      <c r="C141" s="65">
        <f t="shared" ref="C141:M141" si="20">SUM(C142:C145)</f>
        <v>21990</v>
      </c>
      <c r="D141" s="65">
        <f t="shared" si="20"/>
        <v>29</v>
      </c>
      <c r="E141" s="65">
        <f t="shared" si="20"/>
        <v>23620</v>
      </c>
      <c r="F141" s="65">
        <f t="shared" si="20"/>
        <v>55</v>
      </c>
      <c r="G141" s="65">
        <f t="shared" si="20"/>
        <v>15281</v>
      </c>
      <c r="H141" s="65">
        <f t="shared" si="20"/>
        <v>278</v>
      </c>
      <c r="I141" s="65">
        <f t="shared" si="20"/>
        <v>13225</v>
      </c>
      <c r="J141" s="65">
        <f t="shared" si="20"/>
        <v>232</v>
      </c>
      <c r="K141" s="65">
        <f t="shared" si="20"/>
        <v>17575</v>
      </c>
      <c r="L141" s="65">
        <f t="shared" si="20"/>
        <v>151</v>
      </c>
      <c r="M141" s="66">
        <f t="shared" si="20"/>
        <v>24102</v>
      </c>
    </row>
    <row r="142" spans="1:13" x14ac:dyDescent="0.25">
      <c r="A142" s="77" t="s">
        <v>130</v>
      </c>
      <c r="B142" s="71">
        <v>10</v>
      </c>
      <c r="C142" s="71">
        <f>2815+470</f>
        <v>3285</v>
      </c>
      <c r="D142" s="71">
        <v>6</v>
      </c>
      <c r="E142" s="71">
        <f>2830+960</f>
        <v>3790</v>
      </c>
      <c r="F142" s="71">
        <v>12</v>
      </c>
      <c r="G142" s="71">
        <v>2570</v>
      </c>
      <c r="H142" s="71">
        <v>79</v>
      </c>
      <c r="I142" s="71">
        <f>2020+330</f>
        <v>2350</v>
      </c>
      <c r="J142" s="71">
        <v>39</v>
      </c>
      <c r="K142" s="71">
        <v>2065</v>
      </c>
      <c r="L142" s="71">
        <v>43</v>
      </c>
      <c r="M142" s="117">
        <f>975+665</f>
        <v>1640</v>
      </c>
    </row>
    <row r="143" spans="1:13" x14ac:dyDescent="0.25">
      <c r="A143" s="77" t="s">
        <v>131</v>
      </c>
      <c r="B143" s="71">
        <v>8</v>
      </c>
      <c r="C143" s="71">
        <v>2300</v>
      </c>
      <c r="D143" s="71">
        <v>13</v>
      </c>
      <c r="E143" s="71">
        <v>4215</v>
      </c>
      <c r="F143" s="71">
        <v>18</v>
      </c>
      <c r="G143" s="71">
        <v>3178</v>
      </c>
      <c r="H143" s="71">
        <v>40</v>
      </c>
      <c r="I143" s="71">
        <v>2270</v>
      </c>
      <c r="J143" s="71">
        <v>28</v>
      </c>
      <c r="K143" s="71">
        <v>450</v>
      </c>
      <c r="L143" s="71"/>
      <c r="M143" s="117"/>
    </row>
    <row r="144" spans="1:13" x14ac:dyDescent="0.25">
      <c r="A144" s="77" t="s">
        <v>182</v>
      </c>
      <c r="B144" s="71">
        <v>26</v>
      </c>
      <c r="C144" s="71">
        <v>9605</v>
      </c>
      <c r="D144" s="71">
        <v>10</v>
      </c>
      <c r="E144" s="71">
        <v>3094</v>
      </c>
      <c r="F144" s="71">
        <v>23</v>
      </c>
      <c r="G144" s="71">
        <v>2582</v>
      </c>
      <c r="H144" s="71">
        <v>156</v>
      </c>
      <c r="I144" s="71">
        <v>3801</v>
      </c>
      <c r="J144" s="71">
        <v>164</v>
      </c>
      <c r="K144" s="71">
        <v>8796</v>
      </c>
      <c r="L144" s="71">
        <v>108</v>
      </c>
      <c r="M144" s="117">
        <v>16530</v>
      </c>
    </row>
    <row r="145" spans="1:13" x14ac:dyDescent="0.25">
      <c r="A145" s="77" t="s">
        <v>133</v>
      </c>
      <c r="B145" s="71">
        <v>0</v>
      </c>
      <c r="C145" s="71">
        <f>2984+3745+66+5</f>
        <v>6800</v>
      </c>
      <c r="D145" s="71">
        <v>0</v>
      </c>
      <c r="E145" s="71">
        <f>5197+7173+139+12</f>
        <v>12521</v>
      </c>
      <c r="F145" s="71">
        <v>2</v>
      </c>
      <c r="G145" s="71">
        <f>2378+4397+168+8</f>
        <v>6951</v>
      </c>
      <c r="H145" s="71">
        <v>3</v>
      </c>
      <c r="I145" s="71">
        <f>1960+2595+237+12</f>
        <v>4804</v>
      </c>
      <c r="J145" s="71">
        <v>1</v>
      </c>
      <c r="K145" s="71">
        <f>2621+3197+427+19</f>
        <v>6264</v>
      </c>
      <c r="L145" s="71">
        <v>0</v>
      </c>
      <c r="M145" s="117">
        <f>2545+2970+395+22</f>
        <v>5932</v>
      </c>
    </row>
    <row r="146" spans="1:13" x14ac:dyDescent="0.25">
      <c r="A146" s="64" t="s">
        <v>105</v>
      </c>
      <c r="B146" s="65">
        <f>SUM(B147:B159)</f>
        <v>292</v>
      </c>
      <c r="C146" s="65">
        <f t="shared" ref="C146:L146" si="21">SUM(C147:C159)</f>
        <v>17421</v>
      </c>
      <c r="D146" s="65">
        <f t="shared" si="21"/>
        <v>891</v>
      </c>
      <c r="E146" s="65">
        <f t="shared" si="21"/>
        <v>11865</v>
      </c>
      <c r="F146" s="65">
        <f t="shared" si="21"/>
        <v>705</v>
      </c>
      <c r="G146" s="65">
        <f t="shared" si="21"/>
        <v>7518</v>
      </c>
      <c r="H146" s="65">
        <f t="shared" si="21"/>
        <v>1348</v>
      </c>
      <c r="I146" s="65">
        <f t="shared" si="21"/>
        <v>10990</v>
      </c>
      <c r="J146" s="65">
        <f t="shared" si="21"/>
        <v>607</v>
      </c>
      <c r="K146" s="65">
        <f t="shared" si="21"/>
        <v>12148</v>
      </c>
      <c r="L146" s="65">
        <f t="shared" si="21"/>
        <v>486</v>
      </c>
      <c r="M146" s="66">
        <f>SUM(M147:M159)</f>
        <v>17304</v>
      </c>
    </row>
    <row r="147" spans="1:13" x14ac:dyDescent="0.25">
      <c r="A147" s="77" t="s">
        <v>134</v>
      </c>
      <c r="B147" s="68">
        <v>96</v>
      </c>
      <c r="C147" s="68">
        <f>1835+7613+4500</f>
        <v>13948</v>
      </c>
      <c r="D147" s="68">
        <v>233</v>
      </c>
      <c r="E147" s="68">
        <f>1129+4000+2942</f>
        <v>8071</v>
      </c>
      <c r="F147" s="68">
        <v>234</v>
      </c>
      <c r="G147" s="68">
        <f>535+3637+1200</f>
        <v>5372</v>
      </c>
      <c r="H147" s="68">
        <v>371</v>
      </c>
      <c r="I147" s="68">
        <f>1187+4273+2000</f>
        <v>7460</v>
      </c>
      <c r="J147" s="68">
        <v>181</v>
      </c>
      <c r="K147" s="68">
        <f>1336+5000+2171</f>
        <v>8507</v>
      </c>
      <c r="L147" s="68">
        <v>135</v>
      </c>
      <c r="M147" s="69">
        <f>2040+4000+6495</f>
        <v>12535</v>
      </c>
    </row>
    <row r="148" spans="1:13" x14ac:dyDescent="0.25">
      <c r="A148" s="77" t="s">
        <v>135</v>
      </c>
      <c r="B148" s="68">
        <v>5</v>
      </c>
      <c r="C148" s="68">
        <f>39+11</f>
        <v>50</v>
      </c>
      <c r="D148" s="68">
        <f>80+28</f>
        <v>108</v>
      </c>
      <c r="E148" s="68">
        <f>23+19+9</f>
        <v>51</v>
      </c>
      <c r="F148" s="68">
        <f>59</f>
        <v>59</v>
      </c>
      <c r="G148" s="68">
        <f>22+11+2+21</f>
        <v>56</v>
      </c>
      <c r="H148" s="68">
        <f>46+15</f>
        <v>61</v>
      </c>
      <c r="I148" s="68">
        <f>8+9+17+2</f>
        <v>36</v>
      </c>
      <c r="J148" s="68">
        <f>28+9</f>
        <v>37</v>
      </c>
      <c r="K148" s="68">
        <f>22+43+7</f>
        <v>72</v>
      </c>
      <c r="L148" s="68">
        <v>30</v>
      </c>
      <c r="M148" s="69">
        <f>49+59+49+2</f>
        <v>159</v>
      </c>
    </row>
    <row r="149" spans="1:13" x14ac:dyDescent="0.25">
      <c r="A149" s="77" t="s">
        <v>136</v>
      </c>
      <c r="B149" s="68">
        <v>134</v>
      </c>
      <c r="C149" s="68">
        <f>205+95+110</f>
        <v>410</v>
      </c>
      <c r="D149" s="68">
        <v>211</v>
      </c>
      <c r="E149" s="68">
        <f>243+221+300</f>
        <v>764</v>
      </c>
      <c r="F149" s="68">
        <v>224</v>
      </c>
      <c r="G149" s="68">
        <f>77+145+159</f>
        <v>381</v>
      </c>
      <c r="H149" s="68">
        <v>709</v>
      </c>
      <c r="I149" s="68">
        <f>355+250+315</f>
        <v>920</v>
      </c>
      <c r="J149" s="68">
        <v>320</v>
      </c>
      <c r="K149" s="68">
        <f>582+236+326</f>
        <v>1144</v>
      </c>
      <c r="L149" s="68">
        <v>178</v>
      </c>
      <c r="M149" s="69">
        <f>557+512+526</f>
        <v>1595</v>
      </c>
    </row>
    <row r="150" spans="1:13" x14ac:dyDescent="0.25">
      <c r="A150" s="77" t="s">
        <v>137</v>
      </c>
      <c r="B150" s="68">
        <v>33</v>
      </c>
      <c r="C150" s="68">
        <f>69+123+90</f>
        <v>282</v>
      </c>
      <c r="D150" s="68">
        <v>84</v>
      </c>
      <c r="E150" s="68">
        <f>85+100+33</f>
        <v>218</v>
      </c>
      <c r="F150" s="68">
        <v>58</v>
      </c>
      <c r="G150" s="68">
        <f>61+100+31</f>
        <v>192</v>
      </c>
      <c r="H150" s="68">
        <v>108</v>
      </c>
      <c r="I150" s="68">
        <f>162+150+91</f>
        <v>403</v>
      </c>
      <c r="J150" s="68">
        <v>38</v>
      </c>
      <c r="K150" s="68">
        <f>164+150+111</f>
        <v>425</v>
      </c>
      <c r="L150" s="68">
        <v>60</v>
      </c>
      <c r="M150" s="69">
        <f>185+200+203</f>
        <v>588</v>
      </c>
    </row>
    <row r="151" spans="1:13" x14ac:dyDescent="0.25">
      <c r="A151" s="77" t="s">
        <v>138</v>
      </c>
      <c r="B151" s="68">
        <v>1</v>
      </c>
      <c r="C151" s="68">
        <f>290+400+365</f>
        <v>1055</v>
      </c>
      <c r="D151" s="68">
        <v>53</v>
      </c>
      <c r="E151" s="68">
        <f>436+900+321</f>
        <v>1657</v>
      </c>
      <c r="F151" s="68">
        <v>9</v>
      </c>
      <c r="G151" s="68">
        <f>101+400+246</f>
        <v>747</v>
      </c>
      <c r="H151" s="68">
        <v>9</v>
      </c>
      <c r="I151" s="68">
        <f>146+600+400</f>
        <v>1146</v>
      </c>
      <c r="J151" s="68">
        <v>2</v>
      </c>
      <c r="K151" s="68">
        <f>201+480+400</f>
        <v>1081</v>
      </c>
      <c r="L151" s="68">
        <v>2</v>
      </c>
      <c r="M151" s="69">
        <f>201+480+400</f>
        <v>1081</v>
      </c>
    </row>
    <row r="152" spans="1:13" x14ac:dyDescent="0.25">
      <c r="A152" s="125" t="s">
        <v>139</v>
      </c>
      <c r="B152" s="68">
        <v>0</v>
      </c>
      <c r="C152" s="68">
        <f>277+400+174</f>
        <v>851</v>
      </c>
      <c r="D152" s="68">
        <v>53</v>
      </c>
      <c r="E152" s="68">
        <f>123+226+100</f>
        <v>449</v>
      </c>
      <c r="F152" s="68">
        <v>27</v>
      </c>
      <c r="G152" s="68">
        <f>69+50</f>
        <v>119</v>
      </c>
      <c r="H152" s="68">
        <v>2</v>
      </c>
      <c r="I152" s="68">
        <f>28+102+100</f>
        <v>230</v>
      </c>
      <c r="J152" s="68">
        <v>2</v>
      </c>
      <c r="K152" s="68">
        <f>6+208+100</f>
        <v>314</v>
      </c>
      <c r="L152" s="68">
        <v>2</v>
      </c>
      <c r="M152" s="69">
        <f>208+100+6</f>
        <v>314</v>
      </c>
    </row>
    <row r="153" spans="1:13" x14ac:dyDescent="0.25">
      <c r="A153" s="125" t="s">
        <v>140</v>
      </c>
      <c r="B153" s="68">
        <v>0</v>
      </c>
      <c r="C153" s="68">
        <v>6</v>
      </c>
      <c r="D153" s="68">
        <v>0</v>
      </c>
      <c r="E153" s="68">
        <f>12+4</f>
        <v>16</v>
      </c>
      <c r="F153" s="68">
        <v>0</v>
      </c>
      <c r="G153" s="68">
        <f>14+2+2</f>
        <v>18</v>
      </c>
      <c r="H153" s="68">
        <v>0</v>
      </c>
      <c r="I153" s="68">
        <v>6</v>
      </c>
      <c r="J153" s="68">
        <v>0</v>
      </c>
      <c r="K153" s="68">
        <f>3+3+2</f>
        <v>8</v>
      </c>
      <c r="L153" s="68">
        <v>0</v>
      </c>
      <c r="M153" s="69">
        <f>8+4+2</f>
        <v>14</v>
      </c>
    </row>
    <row r="154" spans="1:13" x14ac:dyDescent="0.25">
      <c r="A154" s="77" t="s">
        <v>141</v>
      </c>
      <c r="B154" s="68">
        <v>1</v>
      </c>
      <c r="C154" s="68">
        <f>185+34</f>
        <v>219</v>
      </c>
      <c r="D154" s="126">
        <v>66</v>
      </c>
      <c r="E154" s="126">
        <f>294+21</f>
        <v>315</v>
      </c>
      <c r="F154" s="126">
        <v>40</v>
      </c>
      <c r="G154" s="126">
        <f>326+45</f>
        <v>371</v>
      </c>
      <c r="H154" s="126">
        <v>24</v>
      </c>
      <c r="I154" s="126">
        <f>299+66</f>
        <v>365</v>
      </c>
      <c r="J154" s="126">
        <v>20</v>
      </c>
      <c r="K154" s="126">
        <f>141+14</f>
        <v>155</v>
      </c>
      <c r="L154" s="126">
        <v>29</v>
      </c>
      <c r="M154" s="127">
        <f>81+11</f>
        <v>92</v>
      </c>
    </row>
    <row r="155" spans="1:13" x14ac:dyDescent="0.25">
      <c r="A155" s="77" t="s">
        <v>142</v>
      </c>
      <c r="B155" s="68">
        <v>13</v>
      </c>
      <c r="C155" s="68">
        <f>149</f>
        <v>149</v>
      </c>
      <c r="D155" s="126">
        <v>0</v>
      </c>
      <c r="E155" s="126">
        <f>158</f>
        <v>158</v>
      </c>
      <c r="F155" s="126">
        <v>11</v>
      </c>
      <c r="G155" s="126">
        <f>45+77</f>
        <v>122</v>
      </c>
      <c r="H155" s="126">
        <v>8</v>
      </c>
      <c r="I155" s="126">
        <v>149</v>
      </c>
      <c r="J155" s="126">
        <v>0</v>
      </c>
      <c r="K155" s="126">
        <v>106</v>
      </c>
      <c r="L155" s="126">
        <v>0</v>
      </c>
      <c r="M155" s="127">
        <v>200</v>
      </c>
    </row>
    <row r="156" spans="1:13" x14ac:dyDescent="0.25">
      <c r="A156" s="77" t="s">
        <v>143</v>
      </c>
      <c r="B156" s="68">
        <v>7</v>
      </c>
      <c r="C156" s="68">
        <f>42+121</f>
        <v>163</v>
      </c>
      <c r="D156" s="126">
        <v>77</v>
      </c>
      <c r="E156" s="126">
        <f>25+62</f>
        <v>87</v>
      </c>
      <c r="F156" s="126">
        <v>38</v>
      </c>
      <c r="G156" s="126">
        <f>10+52</f>
        <v>62</v>
      </c>
      <c r="H156" s="126">
        <v>53</v>
      </c>
      <c r="I156" s="126">
        <f>50+36</f>
        <v>86</v>
      </c>
      <c r="J156" s="126">
        <v>4</v>
      </c>
      <c r="K156" s="126">
        <v>46</v>
      </c>
      <c r="L156" s="126">
        <v>26</v>
      </c>
      <c r="M156" s="127">
        <f>58+79</f>
        <v>137</v>
      </c>
    </row>
    <row r="157" spans="1:13" x14ac:dyDescent="0.25">
      <c r="A157" s="77" t="s">
        <v>144</v>
      </c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68">
        <v>18</v>
      </c>
      <c r="M157" s="69">
        <f>6+30+32</f>
        <v>68</v>
      </c>
    </row>
    <row r="158" spans="1:13" x14ac:dyDescent="0.25">
      <c r="A158" s="77" t="s">
        <v>145</v>
      </c>
      <c r="B158" s="68">
        <v>2</v>
      </c>
      <c r="C158" s="68">
        <f>15+15</f>
        <v>30</v>
      </c>
      <c r="D158" s="126">
        <v>6</v>
      </c>
      <c r="E158" s="126">
        <v>14</v>
      </c>
      <c r="F158" s="126">
        <v>5</v>
      </c>
      <c r="G158" s="126">
        <v>10</v>
      </c>
      <c r="H158" s="126">
        <v>3</v>
      </c>
      <c r="I158" s="126">
        <f>15+15</f>
        <v>30</v>
      </c>
      <c r="J158" s="126">
        <v>1</v>
      </c>
      <c r="K158" s="126">
        <f>19+15</f>
        <v>34</v>
      </c>
      <c r="L158" s="126">
        <v>0</v>
      </c>
      <c r="M158" s="127">
        <v>13</v>
      </c>
    </row>
    <row r="159" spans="1:13" x14ac:dyDescent="0.25">
      <c r="A159" s="77" t="s">
        <v>146</v>
      </c>
      <c r="B159" s="126">
        <v>0</v>
      </c>
      <c r="C159" s="126">
        <f>35+223</f>
        <v>258</v>
      </c>
      <c r="D159" s="126">
        <v>0</v>
      </c>
      <c r="E159" s="126">
        <f>38+27</f>
        <v>65</v>
      </c>
      <c r="F159" s="126">
        <v>0</v>
      </c>
      <c r="G159" s="126">
        <f>23+45</f>
        <v>68</v>
      </c>
      <c r="H159" s="126">
        <v>0</v>
      </c>
      <c r="I159" s="126">
        <f>29+130</f>
        <v>159</v>
      </c>
      <c r="J159" s="126">
        <v>2</v>
      </c>
      <c r="K159" s="126">
        <f>78+178</f>
        <v>256</v>
      </c>
      <c r="L159" s="126">
        <v>6</v>
      </c>
      <c r="M159" s="127">
        <f>161+347</f>
        <v>508</v>
      </c>
    </row>
    <row r="160" spans="1:13" x14ac:dyDescent="0.25">
      <c r="A160" s="64" t="s">
        <v>116</v>
      </c>
      <c r="B160" s="65">
        <f>SUM(B161:B162)</f>
        <v>0</v>
      </c>
      <c r="C160" s="65">
        <f t="shared" ref="C160:M160" si="22">SUM(C161:C162)</f>
        <v>440</v>
      </c>
      <c r="D160" s="65">
        <f t="shared" si="22"/>
        <v>0</v>
      </c>
      <c r="E160" s="65">
        <f t="shared" si="22"/>
        <v>628</v>
      </c>
      <c r="F160" s="65">
        <f t="shared" si="22"/>
        <v>0</v>
      </c>
      <c r="G160" s="65">
        <f t="shared" si="22"/>
        <v>3580</v>
      </c>
      <c r="H160" s="65">
        <f t="shared" si="22"/>
        <v>0</v>
      </c>
      <c r="I160" s="65">
        <f t="shared" si="22"/>
        <v>2834</v>
      </c>
      <c r="J160" s="65">
        <f t="shared" si="22"/>
        <v>0</v>
      </c>
      <c r="K160" s="65">
        <f t="shared" si="22"/>
        <v>1332</v>
      </c>
      <c r="L160" s="65">
        <f t="shared" si="22"/>
        <v>0</v>
      </c>
      <c r="M160" s="66">
        <f t="shared" si="22"/>
        <v>2635</v>
      </c>
    </row>
    <row r="161" spans="1:13" x14ac:dyDescent="0.25">
      <c r="A161" s="128" t="s">
        <v>147</v>
      </c>
      <c r="B161" s="71">
        <v>0</v>
      </c>
      <c r="C161" s="71">
        <v>10</v>
      </c>
      <c r="D161" s="71">
        <v>0</v>
      </c>
      <c r="E161" s="71">
        <v>16</v>
      </c>
      <c r="F161" s="71">
        <v>0</v>
      </c>
      <c r="G161" s="71">
        <v>7</v>
      </c>
      <c r="H161" s="71">
        <v>0</v>
      </c>
      <c r="I161" s="71">
        <v>9</v>
      </c>
      <c r="J161" s="71">
        <v>0</v>
      </c>
      <c r="K161" s="71">
        <v>7</v>
      </c>
      <c r="L161" s="71">
        <v>0</v>
      </c>
      <c r="M161" s="117">
        <v>15</v>
      </c>
    </row>
    <row r="162" spans="1:13" ht="15.75" thickBot="1" x14ac:dyDescent="0.3">
      <c r="A162" s="129" t="s">
        <v>148</v>
      </c>
      <c r="B162" s="130">
        <v>0</v>
      </c>
      <c r="C162" s="130">
        <v>430</v>
      </c>
      <c r="D162" s="130">
        <v>0</v>
      </c>
      <c r="E162" s="130">
        <v>612</v>
      </c>
      <c r="F162" s="130">
        <v>0</v>
      </c>
      <c r="G162" s="130">
        <v>3573</v>
      </c>
      <c r="H162" s="130">
        <v>0</v>
      </c>
      <c r="I162" s="130">
        <v>2825</v>
      </c>
      <c r="J162" s="130">
        <v>0</v>
      </c>
      <c r="K162" s="130">
        <v>1325</v>
      </c>
      <c r="L162" s="130">
        <v>0</v>
      </c>
      <c r="M162" s="131">
        <v>2620</v>
      </c>
    </row>
    <row r="163" spans="1:13" x14ac:dyDescent="0.25">
      <c r="A163" s="88" t="s">
        <v>120</v>
      </c>
      <c r="I163" s="124" t="s">
        <v>183</v>
      </c>
    </row>
    <row r="164" spans="1:13" x14ac:dyDescent="0.25">
      <c r="A164" s="132" t="s">
        <v>184</v>
      </c>
      <c r="G164" s="132" t="s">
        <v>185</v>
      </c>
    </row>
  </sheetData>
  <mergeCells count="32">
    <mergeCell ref="A128:M129"/>
    <mergeCell ref="A130:A131"/>
    <mergeCell ref="B130:C130"/>
    <mergeCell ref="D130:E130"/>
    <mergeCell ref="F130:G130"/>
    <mergeCell ref="H130:I130"/>
    <mergeCell ref="J130:K130"/>
    <mergeCell ref="L130:M130"/>
    <mergeCell ref="A90:M91"/>
    <mergeCell ref="A92:A93"/>
    <mergeCell ref="B92:C92"/>
    <mergeCell ref="D92:E92"/>
    <mergeCell ref="F92:G92"/>
    <mergeCell ref="H92:I92"/>
    <mergeCell ref="J92:K92"/>
    <mergeCell ref="L92:M92"/>
    <mergeCell ref="A47:M48"/>
    <mergeCell ref="A49:A50"/>
    <mergeCell ref="B49:C49"/>
    <mergeCell ref="D49:E49"/>
    <mergeCell ref="F49:G49"/>
    <mergeCell ref="H49:I49"/>
    <mergeCell ref="J49:K49"/>
    <mergeCell ref="L49:M49"/>
    <mergeCell ref="A1:M2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Accidents</vt:lpstr>
      <vt:lpstr>Immunization</vt:lpstr>
      <vt:lpstr>Telecom</vt:lpstr>
      <vt:lpstr>Veterinary</vt:lpstr>
      <vt:lpstr>T.B</vt:lpstr>
      <vt:lpstr>Museum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2012-07-31T15:56:26Z</dcterms:modified>
</cp:coreProperties>
</file>