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4"/>
  </bookViews>
  <sheets>
    <sheet name="Museum" sheetId="1" r:id="rId1"/>
    <sheet name="Accidents" sheetId="2" r:id="rId2"/>
    <sheet name="Telecom" sheetId="3" r:id="rId3"/>
    <sheet name="Veterinary" sheetId="4" r:id="rId4"/>
    <sheet name="Immunization" sheetId="5" r:id="rId5"/>
  </sheets>
  <calcPr calcId="145621"/>
</workbook>
</file>

<file path=xl/calcChain.xml><?xml version="1.0" encoding="utf-8"?>
<calcChain xmlns="http://schemas.openxmlformats.org/spreadsheetml/2006/main">
  <c r="K54" i="5" l="1"/>
  <c r="J54" i="5"/>
  <c r="I54" i="5"/>
  <c r="H54" i="5"/>
  <c r="G54" i="5"/>
  <c r="F54" i="5"/>
  <c r="E54" i="5"/>
  <c r="D54" i="5"/>
  <c r="C54" i="5"/>
  <c r="B54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H36" i="4" l="1"/>
  <c r="G36" i="4"/>
  <c r="F36" i="4"/>
  <c r="E36" i="4"/>
  <c r="D36" i="4"/>
  <c r="C36" i="4"/>
  <c r="H16" i="4"/>
  <c r="G16" i="4"/>
  <c r="F16" i="4"/>
  <c r="E16" i="4"/>
  <c r="D16" i="4"/>
  <c r="C16" i="4"/>
  <c r="I15" i="4"/>
  <c r="I14" i="4"/>
  <c r="I13" i="4"/>
  <c r="I12" i="4"/>
  <c r="I11" i="4"/>
  <c r="I10" i="4"/>
  <c r="I9" i="4"/>
  <c r="I8" i="4"/>
  <c r="I7" i="4"/>
  <c r="I6" i="4"/>
  <c r="I5" i="4"/>
  <c r="I16" i="4" s="1"/>
  <c r="I4" i="4"/>
  <c r="G18" i="3" l="1"/>
  <c r="F18" i="3"/>
  <c r="E18" i="3"/>
  <c r="D18" i="3"/>
  <c r="C18" i="3"/>
  <c r="B17" i="3"/>
  <c r="B16" i="3"/>
  <c r="B15" i="3"/>
  <c r="B14" i="3"/>
  <c r="B13" i="3"/>
  <c r="B12" i="3"/>
  <c r="B11" i="3"/>
  <c r="B10" i="3"/>
  <c r="B9" i="3"/>
  <c r="B8" i="3"/>
  <c r="B7" i="3"/>
  <c r="B6" i="3"/>
  <c r="B18" i="3" s="1"/>
  <c r="G123" i="2" l="1"/>
  <c r="F123" i="2"/>
  <c r="E123" i="2"/>
  <c r="D123" i="2"/>
  <c r="C123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G106" i="2"/>
  <c r="F106" i="2"/>
  <c r="E106" i="2"/>
  <c r="D106" i="2"/>
  <c r="C106" i="2"/>
  <c r="B106" i="2" s="1"/>
  <c r="B105" i="2"/>
  <c r="B104" i="2"/>
  <c r="B103" i="2"/>
  <c r="B102" i="2"/>
  <c r="B101" i="2"/>
  <c r="B100" i="2"/>
  <c r="B99" i="2"/>
  <c r="B98" i="2"/>
  <c r="B97" i="2"/>
  <c r="B96" i="2"/>
  <c r="B95" i="2"/>
  <c r="B94" i="2"/>
  <c r="G86" i="2"/>
  <c r="F86" i="2"/>
  <c r="E86" i="2"/>
  <c r="D86" i="2"/>
  <c r="C86" i="2"/>
  <c r="G85" i="2"/>
  <c r="F85" i="2"/>
  <c r="E85" i="2"/>
  <c r="D85" i="2"/>
  <c r="C85" i="2"/>
  <c r="G84" i="2"/>
  <c r="F84" i="2"/>
  <c r="E84" i="2"/>
  <c r="D84" i="2"/>
  <c r="C84" i="2"/>
  <c r="G83" i="2"/>
  <c r="F83" i="2"/>
  <c r="E83" i="2"/>
  <c r="D83" i="2"/>
  <c r="C83" i="2"/>
  <c r="G82" i="2"/>
  <c r="D82" i="2"/>
  <c r="C82" i="2"/>
  <c r="G81" i="2"/>
  <c r="D81" i="2"/>
  <c r="C81" i="2"/>
  <c r="G80" i="2"/>
  <c r="D80" i="2"/>
  <c r="C80" i="2"/>
  <c r="G79" i="2"/>
  <c r="E79" i="2"/>
  <c r="D79" i="2"/>
  <c r="C79" i="2"/>
  <c r="G78" i="2"/>
  <c r="D78" i="2"/>
  <c r="C78" i="2"/>
  <c r="G77" i="2"/>
  <c r="D77" i="2"/>
  <c r="C77" i="2"/>
  <c r="G76" i="2"/>
  <c r="F76" i="2"/>
  <c r="D76" i="2"/>
  <c r="C76" i="2"/>
  <c r="G75" i="2"/>
  <c r="D75" i="2"/>
  <c r="C75" i="2"/>
  <c r="G73" i="2"/>
  <c r="D73" i="2"/>
  <c r="C73" i="2"/>
  <c r="B72" i="2"/>
  <c r="B71" i="2"/>
  <c r="B70" i="2"/>
  <c r="B69" i="2"/>
  <c r="B68" i="2"/>
  <c r="B67" i="2"/>
  <c r="F66" i="2"/>
  <c r="F80" i="2" s="1"/>
  <c r="B66" i="2"/>
  <c r="B65" i="2"/>
  <c r="B64" i="2"/>
  <c r="B63" i="2"/>
  <c r="F62" i="2"/>
  <c r="B62" i="2"/>
  <c r="E61" i="2"/>
  <c r="E73" i="2" s="1"/>
  <c r="B61" i="2"/>
  <c r="G59" i="2"/>
  <c r="F59" i="2"/>
  <c r="E59" i="2"/>
  <c r="D59" i="2"/>
  <c r="C59" i="2"/>
  <c r="B58" i="2"/>
  <c r="B57" i="2"/>
  <c r="B56" i="2"/>
  <c r="B55" i="2"/>
  <c r="B54" i="2"/>
  <c r="B53" i="2"/>
  <c r="B52" i="2"/>
  <c r="B51" i="2"/>
  <c r="B50" i="2"/>
  <c r="B49" i="2"/>
  <c r="F48" i="2"/>
  <c r="E48" i="2"/>
  <c r="B48" i="2"/>
  <c r="B47" i="2"/>
  <c r="G45" i="2"/>
  <c r="D45" i="2"/>
  <c r="C45" i="2"/>
  <c r="B44" i="2"/>
  <c r="B43" i="2"/>
  <c r="B42" i="2"/>
  <c r="B41" i="2"/>
  <c r="F82" i="2"/>
  <c r="E82" i="2"/>
  <c r="B40" i="2"/>
  <c r="F81" i="2"/>
  <c r="E81" i="2"/>
  <c r="B39" i="2"/>
  <c r="F38" i="2"/>
  <c r="E38" i="2"/>
  <c r="E80" i="2" s="1"/>
  <c r="B38" i="2"/>
  <c r="F37" i="2"/>
  <c r="F79" i="2" s="1"/>
  <c r="E37" i="2"/>
  <c r="B37" i="2"/>
  <c r="F36" i="2"/>
  <c r="F78" i="2" s="1"/>
  <c r="E36" i="2"/>
  <c r="E78" i="2" s="1"/>
  <c r="B36" i="2"/>
  <c r="F35" i="2"/>
  <c r="F77" i="2" s="1"/>
  <c r="E35" i="2"/>
  <c r="E77" i="2" s="1"/>
  <c r="B35" i="2"/>
  <c r="F34" i="2"/>
  <c r="E34" i="2"/>
  <c r="E76" i="2" s="1"/>
  <c r="B34" i="2"/>
  <c r="F33" i="2"/>
  <c r="F75" i="2" s="1"/>
  <c r="E33" i="2"/>
  <c r="B33" i="2"/>
  <c r="G31" i="2"/>
  <c r="F31" i="2"/>
  <c r="E31" i="2"/>
  <c r="D31" i="2"/>
  <c r="C31" i="2"/>
  <c r="B31" i="2" s="1"/>
  <c r="B30" i="2"/>
  <c r="B29" i="2"/>
  <c r="B28" i="2"/>
  <c r="B27" i="2"/>
  <c r="B26" i="2"/>
  <c r="B25" i="2"/>
  <c r="B24" i="2"/>
  <c r="B23" i="2"/>
  <c r="B22" i="2"/>
  <c r="B21" i="2"/>
  <c r="B20" i="2"/>
  <c r="B19" i="2"/>
  <c r="G17" i="2"/>
  <c r="F17" i="2"/>
  <c r="E17" i="2"/>
  <c r="D17" i="2"/>
  <c r="B17" i="2" s="1"/>
  <c r="C17" i="2"/>
  <c r="B16" i="2"/>
  <c r="B86" i="2" s="1"/>
  <c r="B15" i="2"/>
  <c r="B85" i="2" s="1"/>
  <c r="B14" i="2"/>
  <c r="B84" i="2" s="1"/>
  <c r="B13" i="2"/>
  <c r="B12" i="2"/>
  <c r="B11" i="2"/>
  <c r="B10" i="2"/>
  <c r="B80" i="2" s="1"/>
  <c r="B9" i="2"/>
  <c r="B79" i="2" s="1"/>
  <c r="B8" i="2"/>
  <c r="B78" i="2" s="1"/>
  <c r="B7" i="2"/>
  <c r="B77" i="2" s="1"/>
  <c r="B6" i="2"/>
  <c r="B76" i="2" s="1"/>
  <c r="B5" i="2"/>
  <c r="B75" i="2" s="1"/>
  <c r="B73" i="2" l="1"/>
  <c r="B81" i="2"/>
  <c r="B82" i="2"/>
  <c r="B83" i="2"/>
  <c r="G87" i="2"/>
  <c r="B59" i="2"/>
  <c r="B45" i="2"/>
  <c r="B87" i="2" s="1"/>
  <c r="C87" i="2"/>
  <c r="F73" i="2"/>
  <c r="D87" i="2"/>
  <c r="E45" i="2"/>
  <c r="E87" i="2" s="1"/>
  <c r="E75" i="2"/>
  <c r="F45" i="2"/>
  <c r="F87" i="2" s="1"/>
  <c r="I77" i="1" l="1"/>
  <c r="H77" i="1"/>
  <c r="G77" i="1"/>
  <c r="F77" i="1"/>
  <c r="E77" i="1"/>
  <c r="D77" i="1"/>
  <c r="C77" i="1"/>
  <c r="B77" i="1"/>
  <c r="I75" i="1"/>
  <c r="G75" i="1"/>
  <c r="E75" i="1"/>
  <c r="C75" i="1"/>
  <c r="I74" i="1"/>
  <c r="G74" i="1"/>
  <c r="E74" i="1"/>
  <c r="C74" i="1"/>
  <c r="I73" i="1"/>
  <c r="G73" i="1"/>
  <c r="E73" i="1"/>
  <c r="C73" i="1"/>
  <c r="I72" i="1"/>
  <c r="G72" i="1"/>
  <c r="E72" i="1"/>
  <c r="C72" i="1"/>
  <c r="I71" i="1"/>
  <c r="G71" i="1"/>
  <c r="E71" i="1"/>
  <c r="C71" i="1"/>
  <c r="I70" i="1"/>
  <c r="G70" i="1"/>
  <c r="E70" i="1"/>
  <c r="C70" i="1"/>
  <c r="B70" i="1"/>
  <c r="I69" i="1"/>
  <c r="E69" i="1"/>
  <c r="C69" i="1"/>
  <c r="I68" i="1"/>
  <c r="G68" i="1"/>
  <c r="E68" i="1"/>
  <c r="C68" i="1"/>
  <c r="I67" i="1"/>
  <c r="G67" i="1"/>
  <c r="E67" i="1"/>
  <c r="C67" i="1"/>
  <c r="I66" i="1"/>
  <c r="H66" i="1"/>
  <c r="G66" i="1"/>
  <c r="E66" i="1"/>
  <c r="D66" i="1"/>
  <c r="D62" i="1" s="1"/>
  <c r="D48" i="1" s="1"/>
  <c r="C66" i="1"/>
  <c r="B66" i="1"/>
  <c r="I65" i="1"/>
  <c r="H65" i="1"/>
  <c r="G65" i="1"/>
  <c r="G62" i="1" s="1"/>
  <c r="E65" i="1"/>
  <c r="C65" i="1"/>
  <c r="B65" i="1"/>
  <c r="I64" i="1"/>
  <c r="G64" i="1"/>
  <c r="E64" i="1"/>
  <c r="C64" i="1"/>
  <c r="B64" i="1"/>
  <c r="I63" i="1"/>
  <c r="H63" i="1"/>
  <c r="H62" i="1" s="1"/>
  <c r="H48" i="1" s="1"/>
  <c r="G63" i="1"/>
  <c r="E63" i="1"/>
  <c r="C63" i="1"/>
  <c r="C62" i="1" s="1"/>
  <c r="I62" i="1"/>
  <c r="F62" i="1"/>
  <c r="F48" i="1" s="1"/>
  <c r="E62" i="1"/>
  <c r="B62" i="1"/>
  <c r="B48" i="1" s="1"/>
  <c r="I61" i="1"/>
  <c r="G61" i="1"/>
  <c r="E61" i="1"/>
  <c r="C61" i="1"/>
  <c r="I58" i="1"/>
  <c r="G58" i="1"/>
  <c r="G57" i="1" s="1"/>
  <c r="G48" i="1" s="1"/>
  <c r="E58" i="1"/>
  <c r="C58" i="1"/>
  <c r="C57" i="1" s="1"/>
  <c r="I57" i="1"/>
  <c r="H57" i="1"/>
  <c r="F57" i="1"/>
  <c r="E57" i="1"/>
  <c r="D57" i="1"/>
  <c r="B57" i="1"/>
  <c r="I49" i="1"/>
  <c r="H49" i="1"/>
  <c r="G49" i="1"/>
  <c r="F49" i="1"/>
  <c r="E49" i="1"/>
  <c r="D49" i="1"/>
  <c r="C49" i="1"/>
  <c r="B49" i="1"/>
  <c r="I48" i="1"/>
  <c r="E48" i="1"/>
  <c r="I38" i="1"/>
  <c r="H38" i="1"/>
  <c r="G38" i="1"/>
  <c r="F38" i="1"/>
  <c r="E38" i="1"/>
  <c r="D38" i="1"/>
  <c r="C38" i="1"/>
  <c r="B38" i="1"/>
  <c r="I37" i="1"/>
  <c r="G37" i="1"/>
  <c r="E37" i="1"/>
  <c r="C37" i="1"/>
  <c r="I35" i="1"/>
  <c r="H35" i="1"/>
  <c r="G35" i="1"/>
  <c r="E35" i="1"/>
  <c r="C35" i="1"/>
  <c r="B35" i="1"/>
  <c r="I34" i="1"/>
  <c r="G34" i="1"/>
  <c r="E34" i="1"/>
  <c r="C34" i="1"/>
  <c r="I33" i="1"/>
  <c r="G33" i="1"/>
  <c r="E33" i="1"/>
  <c r="C33" i="1"/>
  <c r="I32" i="1"/>
  <c r="G32" i="1"/>
  <c r="E32" i="1"/>
  <c r="C32" i="1"/>
  <c r="G30" i="1"/>
  <c r="E30" i="1"/>
  <c r="C30" i="1"/>
  <c r="I29" i="1"/>
  <c r="G29" i="1"/>
  <c r="E29" i="1"/>
  <c r="E27" i="1" s="1"/>
  <c r="C29" i="1"/>
  <c r="B29" i="1"/>
  <c r="B27" i="1" s="1"/>
  <c r="B5" i="1" s="1"/>
  <c r="I28" i="1"/>
  <c r="I27" i="1" s="1"/>
  <c r="H28" i="1"/>
  <c r="H27" i="1" s="1"/>
  <c r="H5" i="1" s="1"/>
  <c r="G28" i="1"/>
  <c r="E28" i="1"/>
  <c r="D28" i="1"/>
  <c r="C28" i="1"/>
  <c r="C27" i="1" s="1"/>
  <c r="B28" i="1"/>
  <c r="G27" i="1"/>
  <c r="G5" i="1" s="1"/>
  <c r="F27" i="1"/>
  <c r="D27" i="1"/>
  <c r="D5" i="1" s="1"/>
  <c r="I24" i="1"/>
  <c r="G24" i="1"/>
  <c r="E24" i="1"/>
  <c r="C24" i="1"/>
  <c r="I22" i="1"/>
  <c r="I19" i="1" s="1"/>
  <c r="G22" i="1"/>
  <c r="E22" i="1"/>
  <c r="C22" i="1"/>
  <c r="G21" i="1"/>
  <c r="E21" i="1"/>
  <c r="C21" i="1"/>
  <c r="I20" i="1"/>
  <c r="G20" i="1"/>
  <c r="E20" i="1"/>
  <c r="E19" i="1" s="1"/>
  <c r="C20" i="1"/>
  <c r="C19" i="1" s="1"/>
  <c r="H19" i="1"/>
  <c r="G19" i="1"/>
  <c r="F19" i="1"/>
  <c r="D19" i="1"/>
  <c r="B19" i="1"/>
  <c r="I11" i="1"/>
  <c r="H11" i="1"/>
  <c r="G11" i="1"/>
  <c r="F11" i="1"/>
  <c r="E11" i="1"/>
  <c r="D11" i="1"/>
  <c r="C11" i="1"/>
  <c r="B11" i="1"/>
  <c r="I9" i="1"/>
  <c r="G9" i="1"/>
  <c r="E9" i="1"/>
  <c r="E6" i="1" s="1"/>
  <c r="E5" i="1" s="1"/>
  <c r="C9" i="1"/>
  <c r="I8" i="1"/>
  <c r="H8" i="1"/>
  <c r="G8" i="1"/>
  <c r="F8" i="1"/>
  <c r="E8" i="1"/>
  <c r="D8" i="1"/>
  <c r="C8" i="1"/>
  <c r="C6" i="1" s="1"/>
  <c r="C5" i="1" s="1"/>
  <c r="B8" i="1"/>
  <c r="I6" i="1"/>
  <c r="H6" i="1"/>
  <c r="G6" i="1"/>
  <c r="F6" i="1"/>
  <c r="D6" i="1"/>
  <c r="B6" i="1"/>
  <c r="F5" i="1"/>
  <c r="C48" i="1" l="1"/>
  <c r="I5" i="1"/>
</calcChain>
</file>

<file path=xl/sharedStrings.xml><?xml version="1.0" encoding="utf-8"?>
<sst xmlns="http://schemas.openxmlformats.org/spreadsheetml/2006/main" count="440" uniqueCount="187">
  <si>
    <t>Visitors at Archaeological Museums in Pakistan During January-December, 2025</t>
  </si>
  <si>
    <t>Area/ attraction</t>
  </si>
  <si>
    <t>January</t>
  </si>
  <si>
    <t>February</t>
  </si>
  <si>
    <t xml:space="preserve"> March</t>
  </si>
  <si>
    <t>April</t>
  </si>
  <si>
    <t>Foreigner</t>
  </si>
  <si>
    <t>National</t>
  </si>
  <si>
    <t>PAKISTAN</t>
  </si>
  <si>
    <t>ISLAMABAD</t>
  </si>
  <si>
    <t>Pakistan Museum of Natural History</t>
  </si>
  <si>
    <t>Lok Virsa Heritage Museum</t>
  </si>
  <si>
    <t>Pakistan Monument Museum</t>
  </si>
  <si>
    <t>Pakistan Railway Heritage Museum</t>
  </si>
  <si>
    <t>PUNJAB</t>
  </si>
  <si>
    <t>Lahore Museum Lahore</t>
  </si>
  <si>
    <t>Allama Iqbal Library &amp; Museum, Sialkot.</t>
  </si>
  <si>
    <t>Lahore Fort (walled city)</t>
  </si>
  <si>
    <t>Museum, Taxila, Rawalpindi</t>
  </si>
  <si>
    <t>Museum, Harappa, District Sahiwal.</t>
  </si>
  <si>
    <t>Allama Iqbal Museum, Javaid Manzil, Lahore</t>
  </si>
  <si>
    <t>PMDC Khewara Mines Museum, Chakwal</t>
  </si>
  <si>
    <t>SINDH</t>
  </si>
  <si>
    <t>National Museum of Pakistan, Karachi</t>
  </si>
  <si>
    <t>Sindh Provincial Museum, Hyderabad.</t>
  </si>
  <si>
    <t>Museum, Bhambore, District Thatta.</t>
  </si>
  <si>
    <t>Museum,Monjodaro, Distric Larkana.</t>
  </si>
  <si>
    <t>Museum Umerkot, District Tharparkar.</t>
  </si>
  <si>
    <t>Quid-e-Azam Birth Place, Karachi.</t>
  </si>
  <si>
    <t>Quid-e-Azam  House Muesum, Karachi.</t>
  </si>
  <si>
    <t>Khyber Pakthunkhwa</t>
  </si>
  <si>
    <t>Peshawar Museum, Peshawar.</t>
  </si>
  <si>
    <t xml:space="preserve">Sawat Museum </t>
  </si>
  <si>
    <t>Dir Museum,  Chekdara</t>
  </si>
  <si>
    <t>Hund Museum, Swabi</t>
  </si>
  <si>
    <t>Chitral Museum, Chitral</t>
  </si>
  <si>
    <t>Pushkalavati Museum, Charsadda</t>
  </si>
  <si>
    <t>Bannu Museum, Bannu</t>
  </si>
  <si>
    <t>City Museum Gor Khatri, Peshawar</t>
  </si>
  <si>
    <t>Mardan Museum, Mardan</t>
  </si>
  <si>
    <t>Kalasha Dur Museum Bumborate, Chitral</t>
  </si>
  <si>
    <t>BALOCHISTAN</t>
  </si>
  <si>
    <t>Mehargarh Museum Quetta</t>
  </si>
  <si>
    <t>Turbat Museum Distt: Kech</t>
  </si>
  <si>
    <t>Gawader Fort  Museum Distt: Gawader</t>
  </si>
  <si>
    <t>Visitors at Heritage Site in Pakistan During January-December, 2025</t>
  </si>
  <si>
    <t xml:space="preserve">  March</t>
  </si>
  <si>
    <t>Jhangirs Tomb, Lahore</t>
  </si>
  <si>
    <t>Shalamar Garde, Lahore</t>
  </si>
  <si>
    <t>Haran Minar &amp; Tank, Sheikhupura</t>
  </si>
  <si>
    <t>Harappa, Sahiwal</t>
  </si>
  <si>
    <t>Taxila, Rawalpindi</t>
  </si>
  <si>
    <t>Mughal Garden Wah Cantt</t>
  </si>
  <si>
    <t>Bhambore, District Thatta.</t>
  </si>
  <si>
    <t>Makli Hill Monument, District Thatta</t>
  </si>
  <si>
    <t>Monjodaro, Distric Larkana.</t>
  </si>
  <si>
    <t>Umerkot Fort, District Tharparkar.</t>
  </si>
  <si>
    <t>Remains of Takht-e-Bhai, District Mardan</t>
  </si>
  <si>
    <t>Butkara Site Museum, Saidu Sharif, Swat</t>
  </si>
  <si>
    <t>Julian Site, Haripur</t>
  </si>
  <si>
    <t>Sethi House, Peshawar</t>
  </si>
  <si>
    <t>Jamal Garhi, Mardan</t>
  </si>
  <si>
    <t>Shehbaz Garhi, Mardan</t>
  </si>
  <si>
    <t>Ali Mardan Khan Villa Peshawar</t>
  </si>
  <si>
    <t>Saido Sharif Stupa, Swat</t>
  </si>
  <si>
    <t>Mehmood Ghazni Mosque &amp; Raja Gira Fort, Sawat</t>
  </si>
  <si>
    <t>Barikot (Bazira) Site, Swat</t>
  </si>
  <si>
    <t>Archaeological Site of Bhamla Haripur</t>
  </si>
  <si>
    <t xml:space="preserve">Archaelogical Site of Ashoka Rock Edict Mansehra </t>
  </si>
  <si>
    <t>Archaelogical Site Ranigat, Buner</t>
  </si>
  <si>
    <t>Jina Wali Dheri,Distt Haripur</t>
  </si>
  <si>
    <t>Jirgha Hall Sibi: Distt Sibi</t>
  </si>
  <si>
    <t>Quaid' Residency Distt: Ziarat</t>
  </si>
  <si>
    <t>Note= Directorate of Aarchaeology &amp; Museum, Govt. of KP added new museums/Site in previous list</t>
  </si>
  <si>
    <t>Data on Traffic accidents 2025</t>
  </si>
  <si>
    <t>Year/Month</t>
  </si>
  <si>
    <t>Total Number 
of Accidents</t>
  </si>
  <si>
    <t>Accident</t>
  </si>
  <si>
    <t>Persons</t>
  </si>
  <si>
    <t>Total Number 
of Vehicles Involved</t>
  </si>
  <si>
    <t>Fatal</t>
  </si>
  <si>
    <t>Non - Fatal</t>
  </si>
  <si>
    <t>Killed</t>
  </si>
  <si>
    <t>Injured</t>
  </si>
  <si>
    <t>Islamabad</t>
  </si>
  <si>
    <t>Feburary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</si>
  <si>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</si>
  <si>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</si>
  <si>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</si>
  <si>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</si>
  <si>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</si>
  <si>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</si>
  <si>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</si>
  <si>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</si>
  <si>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</si>
  <si>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</si>
  <si>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Punjab</t>
  </si>
  <si>
    <t>Sindh</t>
  </si>
  <si>
    <t>KP</t>
  </si>
  <si>
    <t>Balochistan</t>
  </si>
  <si>
    <t>Pakistan</t>
  </si>
  <si>
    <t>GILGIT &amp; BALTISTAN</t>
  </si>
  <si>
    <t>Data on Traffic Accidents</t>
  </si>
  <si>
    <t>Year/Months</t>
  </si>
  <si>
    <t>Non-Fatal</t>
  </si>
  <si>
    <t>No. of Vehicle Involved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</si>
  <si>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</si>
  <si>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</si>
  <si>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</si>
  <si>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</si>
  <si>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</si>
  <si>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</si>
  <si>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</si>
  <si>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</si>
  <si>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</si>
  <si>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</si>
  <si>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</si>
  <si>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AJK</t>
  </si>
  <si>
    <t>MONTHLY DATA FOR THE MONTH OF JANUARY –DECEMBER, 2025</t>
  </si>
  <si>
    <t>Months</t>
  </si>
  <si>
    <t>Distribution of  Cellular Mobile Subscribers</t>
  </si>
  <si>
    <t>PMCL</t>
  </si>
  <si>
    <t>CM Pak             (Zong)</t>
  </si>
  <si>
    <t xml:space="preserve">PTML </t>
  </si>
  <si>
    <t>Telenor</t>
  </si>
  <si>
    <t>SCO</t>
  </si>
  <si>
    <t>(Jazz)</t>
  </si>
  <si>
    <t>Ufone</t>
  </si>
  <si>
    <t xml:space="preserve">June </t>
  </si>
  <si>
    <t>TOTAL</t>
  </si>
  <si>
    <t>Note:-  Warid merged PMCL (Moblink ) with new name PMCL (Jazz) from January-2017.</t>
  </si>
  <si>
    <t>Source.</t>
  </si>
  <si>
    <t>Pakistan Telecomunication Authority, Islamabad</t>
  </si>
  <si>
    <t>Register Veterinary Medical Practitioner With PVMC- 2025</t>
  </si>
  <si>
    <t>S.No.</t>
  </si>
  <si>
    <t>RVMP Registration for the year of 2025</t>
  </si>
  <si>
    <t>Male</t>
  </si>
  <si>
    <t>Female</t>
  </si>
  <si>
    <t>D.V.M</t>
  </si>
  <si>
    <t>M.Sc</t>
  </si>
  <si>
    <t>M.Phil</t>
  </si>
  <si>
    <t>Ph.D</t>
  </si>
  <si>
    <t xml:space="preserve">January </t>
  </si>
  <si>
    <r>
      <t xml:space="preserve"> Total RVMP Registered since 1</t>
    </r>
    <r>
      <rPr>
        <vertAlign val="superscript"/>
        <sz val="10"/>
        <color theme="1"/>
        <rFont val="Times New Roman"/>
        <family val="1"/>
      </rPr>
      <t>st</t>
    </r>
    <r>
      <rPr>
        <sz val="10"/>
        <color theme="1"/>
        <rFont val="Times New Roman"/>
        <family val="1"/>
      </rPr>
      <t xml:space="preserve"> January 2021 to 31</t>
    </r>
    <r>
      <rPr>
        <vertAlign val="superscript"/>
        <sz val="10"/>
        <color theme="1"/>
        <rFont val="Times New Roman"/>
        <family val="1"/>
      </rPr>
      <t>st</t>
    </r>
    <r>
      <rPr>
        <sz val="10"/>
        <color theme="1"/>
        <rFont val="Times New Roman"/>
        <family val="1"/>
      </rPr>
      <t xml:space="preserve"> December 2021= 1618          Source:- Pakistan Veterinary Medical </t>
    </r>
  </si>
  <si>
    <r>
      <t xml:space="preserve"> Total RVMP Registered since 30</t>
    </r>
    <r>
      <rPr>
        <vertAlign val="superscript"/>
        <sz val="10"/>
        <color theme="1"/>
        <rFont val="Times New Roman"/>
        <family val="1"/>
      </rPr>
      <t>th</t>
    </r>
    <r>
      <rPr>
        <sz val="10"/>
        <color theme="1"/>
        <rFont val="Times New Roman"/>
        <family val="1"/>
      </rPr>
      <t xml:space="preserve"> May    2000 to 31st December 2021= 17257                  Council, Islamabad</t>
    </r>
  </si>
  <si>
    <t>Registered Animal Husbandry Graduate With PVMC- 2025</t>
  </si>
  <si>
    <t>B.Sc. (Hons)</t>
  </si>
  <si>
    <t>M.Sc.</t>
  </si>
  <si>
    <t>A.H</t>
  </si>
  <si>
    <t>NIL</t>
  </si>
  <si>
    <r>
      <t xml:space="preserve">     Total RAHG Registered since 1</t>
    </r>
    <r>
      <rPr>
        <vertAlign val="superscript"/>
        <sz val="10"/>
        <color theme="1"/>
        <rFont val="Times New Roman"/>
        <family val="1"/>
      </rPr>
      <t>st</t>
    </r>
    <r>
      <rPr>
        <sz val="10"/>
        <color theme="1"/>
        <rFont val="Times New Roman"/>
        <family val="1"/>
      </rPr>
      <t xml:space="preserve"> January 2021  to 31</t>
    </r>
    <r>
      <rPr>
        <vertAlign val="superscript"/>
        <sz val="10"/>
        <color theme="1"/>
        <rFont val="Times New Roman"/>
        <family val="1"/>
      </rPr>
      <t>st</t>
    </r>
    <r>
      <rPr>
        <sz val="10"/>
        <color theme="1"/>
        <rFont val="Times New Roman"/>
        <family val="1"/>
      </rPr>
      <t xml:space="preserve"> December 2021=  01    Source:- Pakistan Veterinary Medical </t>
    </r>
  </si>
  <si>
    <r>
      <t xml:space="preserve"> Total RAHG Registered since 30</t>
    </r>
    <r>
      <rPr>
        <vertAlign val="superscript"/>
        <sz val="10"/>
        <color theme="1"/>
        <rFont val="Times New Roman"/>
        <family val="1"/>
      </rPr>
      <t>th</t>
    </r>
    <r>
      <rPr>
        <sz val="10"/>
        <color theme="1"/>
        <rFont val="Times New Roman"/>
        <family val="1"/>
      </rPr>
      <t xml:space="preserve"> May    2000  to 31</t>
    </r>
    <r>
      <rPr>
        <vertAlign val="superscript"/>
        <sz val="10"/>
        <color theme="1"/>
        <rFont val="Times New Roman"/>
        <family val="1"/>
      </rPr>
      <t>st</t>
    </r>
    <r>
      <rPr>
        <sz val="10"/>
        <color theme="1"/>
        <rFont val="Times New Roman"/>
        <family val="1"/>
      </rPr>
      <t xml:space="preserve"> December 2021= 515                            Council, Islamabad</t>
    </r>
  </si>
  <si>
    <t>Monthly Immunization Coverage during 2025</t>
  </si>
  <si>
    <t>Number of doses administered ( 0-11 months )children during 2025</t>
  </si>
  <si>
    <t>MONTH(s)</t>
  </si>
  <si>
    <t>BCG</t>
  </si>
  <si>
    <t>OPV-0</t>
  </si>
  <si>
    <t>OPV-1</t>
  </si>
  <si>
    <t>OPV-2</t>
  </si>
  <si>
    <t>OPV-3</t>
  </si>
  <si>
    <t>IPV-1</t>
  </si>
  <si>
    <t>IPV-2</t>
  </si>
  <si>
    <t>Penta-valent-1</t>
  </si>
  <si>
    <t>Penta-valent-2</t>
  </si>
  <si>
    <t>Pentav-alent-3</t>
  </si>
  <si>
    <t>Pneumo-1</t>
  </si>
  <si>
    <t>Pneumo-2</t>
  </si>
  <si>
    <t>Pneumo-3</t>
  </si>
  <si>
    <t>Rota-1</t>
  </si>
  <si>
    <t>Rota-2</t>
  </si>
  <si>
    <t>Measles-1</t>
  </si>
  <si>
    <t>IPV:Inative Polio Vaccine</t>
  </si>
  <si>
    <t>Contd.</t>
  </si>
  <si>
    <t>Number of doses administered (12-23 Months ) children during 2025</t>
  </si>
  <si>
    <t>MONTH</t>
  </si>
  <si>
    <t>Pentav-alent-2</t>
  </si>
  <si>
    <t>Pneumo</t>
  </si>
  <si>
    <t>Measles-2</t>
  </si>
  <si>
    <t>Number of TT doses administered to  women during 2025</t>
  </si>
  <si>
    <t>Pregnant Women</t>
  </si>
  <si>
    <t>Childbearing age women</t>
  </si>
  <si>
    <t>TT1</t>
  </si>
  <si>
    <t>TT2</t>
  </si>
  <si>
    <t>TT3</t>
  </si>
  <si>
    <t>TT4</t>
  </si>
  <si>
    <t>TT5</t>
  </si>
  <si>
    <t>Source :- Federal EPI/CDD Cell, NIH, Islamabad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</si>
</sst>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3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2"/>
      <color theme="1"/>
      <name val="Arial"/>
      <family val="2"/>
    </font>
    <font>
      <b/>
      <sz val="10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261">
    <xf numFmtId="0" fontId="0" fillId="0" borderId="0" xfId="0"/>
    <xf numFmtId="0" fontId="2" fillId="3" borderId="11" xfId="0" applyFont="1" applyFill="1" applyBorder="1" applyAlignment="1">
      <alignment horizontal="center" vertical="center"/>
    </xf>
    <xf numFmtId="0" fontId="2" fillId="4" borderId="12" xfId="0" applyFont="1" applyFill="1" applyBorder="1"/>
    <xf numFmtId="0" fontId="3" fillId="4" borderId="11" xfId="0" applyFont="1" applyFill="1" applyBorder="1" applyAlignment="1">
      <alignment horizontal="right"/>
    </xf>
    <xf numFmtId="0" fontId="2" fillId="5" borderId="12" xfId="0" applyFont="1" applyFill="1" applyBorder="1"/>
    <xf numFmtId="0" fontId="3" fillId="5" borderId="11" xfId="0" applyFont="1" applyFill="1" applyBorder="1" applyAlignment="1">
      <alignment horizontal="right"/>
    </xf>
    <xf numFmtId="0" fontId="4" fillId="0" borderId="12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right"/>
    </xf>
    <xf numFmtId="0" fontId="4" fillId="0" borderId="12" xfId="0" applyFont="1" applyFill="1" applyBorder="1"/>
    <xf numFmtId="0" fontId="4" fillId="0" borderId="12" xfId="0" applyFont="1" applyFill="1" applyBorder="1" applyAlignment="1">
      <alignment wrapText="1"/>
    </xf>
    <xf numFmtId="0" fontId="5" fillId="0" borderId="11" xfId="0" applyFont="1" applyFill="1" applyBorder="1" applyAlignment="1"/>
    <xf numFmtId="0" fontId="4" fillId="6" borderId="12" xfId="0" applyFont="1" applyFill="1" applyBorder="1" applyAlignment="1">
      <alignment wrapText="1"/>
    </xf>
    <xf numFmtId="0" fontId="5" fillId="7" borderId="11" xfId="0" applyFont="1" applyFill="1" applyBorder="1" applyAlignment="1"/>
    <xf numFmtId="0" fontId="1" fillId="0" borderId="0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right"/>
    </xf>
    <xf numFmtId="0" fontId="5" fillId="0" borderId="15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 wrapText="1"/>
    </xf>
    <xf numFmtId="0" fontId="0" fillId="0" borderId="11" xfId="0" applyFill="1" applyBorder="1" applyAlignment="1">
      <alignment horizontal="right"/>
    </xf>
    <xf numFmtId="0" fontId="5" fillId="0" borderId="15" xfId="0" applyFont="1" applyFill="1" applyBorder="1" applyAlignment="1"/>
    <xf numFmtId="0" fontId="4" fillId="0" borderId="16" xfId="0" applyFont="1" applyFill="1" applyBorder="1" applyAlignment="1">
      <alignment wrapText="1"/>
    </xf>
    <xf numFmtId="0" fontId="5" fillId="0" borderId="17" xfId="0" applyFont="1" applyFill="1" applyBorder="1" applyAlignment="1">
      <alignment horizontal="right"/>
    </xf>
    <xf numFmtId="0" fontId="5" fillId="0" borderId="18" xfId="0" applyFont="1" applyFill="1" applyBorder="1" applyAlignment="1">
      <alignment horizontal="right"/>
    </xf>
    <xf numFmtId="0" fontId="4" fillId="0" borderId="0" xfId="0" applyFont="1" applyBorder="1"/>
    <xf numFmtId="0" fontId="3" fillId="0" borderId="0" xfId="0" applyFont="1" applyBorder="1" applyAlignment="1">
      <alignment horizontal="right"/>
    </xf>
    <xf numFmtId="0" fontId="3" fillId="4" borderId="15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5" fillId="7" borderId="11" xfId="0" applyFont="1" applyFill="1" applyBorder="1" applyAlignment="1">
      <alignment horizontal="right"/>
    </xf>
    <xf numFmtId="0" fontId="5" fillId="7" borderId="15" xfId="0" applyFont="1" applyFill="1" applyBorder="1" applyAlignment="1">
      <alignment horizontal="right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2" fillId="0" borderId="15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right" vertical="center"/>
    </xf>
    <xf numFmtId="0" fontId="11" fillId="0" borderId="15" xfId="0" applyFont="1" applyFill="1" applyBorder="1" applyAlignment="1">
      <alignment horizontal="right" vertical="center"/>
    </xf>
    <xf numFmtId="0" fontId="0" fillId="0" borderId="11" xfId="0" applyFont="1" applyFill="1" applyBorder="1" applyAlignment="1"/>
    <xf numFmtId="0" fontId="0" fillId="0" borderId="15" xfId="0" applyFont="1" applyFill="1" applyBorder="1" applyAlignment="1"/>
    <xf numFmtId="0" fontId="11" fillId="0" borderId="11" xfId="0" applyFont="1" applyFill="1" applyBorder="1" applyAlignment="1"/>
    <xf numFmtId="0" fontId="11" fillId="0" borderId="15" xfId="0" applyFont="1" applyFill="1" applyBorder="1" applyAlignment="1"/>
    <xf numFmtId="0" fontId="0" fillId="0" borderId="11" xfId="0" applyFont="1" applyFill="1" applyBorder="1"/>
    <xf numFmtId="0" fontId="0" fillId="0" borderId="15" xfId="0" applyFont="1" applyFill="1" applyBorder="1"/>
    <xf numFmtId="0" fontId="11" fillId="0" borderId="11" xfId="0" applyFont="1" applyFill="1" applyBorder="1"/>
    <xf numFmtId="0" fontId="11" fillId="0" borderId="15" xfId="0" applyFont="1" applyFill="1" applyBorder="1"/>
    <xf numFmtId="0" fontId="10" fillId="0" borderId="16" xfId="0" applyFont="1" applyFill="1" applyBorder="1" applyAlignment="1">
      <alignment horizontal="left" vertical="center"/>
    </xf>
    <xf numFmtId="0" fontId="0" fillId="0" borderId="17" xfId="0" applyFont="1" applyFill="1" applyBorder="1"/>
    <xf numFmtId="0" fontId="0" fillId="0" borderId="18" xfId="0" applyFont="1" applyFill="1" applyBorder="1"/>
    <xf numFmtId="0" fontId="16" fillId="0" borderId="28" xfId="0" applyFont="1" applyBorder="1" applyAlignment="1">
      <alignment vertical="center" wrapText="1"/>
    </xf>
    <xf numFmtId="0" fontId="17" fillId="0" borderId="29" xfId="0" applyFont="1" applyBorder="1" applyAlignment="1">
      <alignment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/>
    </xf>
    <xf numFmtId="0" fontId="18" fillId="0" borderId="11" xfId="0" applyFont="1" applyBorder="1" applyAlignment="1">
      <alignment vertical="center" wrapText="1"/>
    </xf>
    <xf numFmtId="0" fontId="17" fillId="0" borderId="11" xfId="0" applyFont="1" applyBorder="1"/>
    <xf numFmtId="0" fontId="17" fillId="0" borderId="15" xfId="0" applyFont="1" applyBorder="1"/>
    <xf numFmtId="0" fontId="8" fillId="0" borderId="12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9" fillId="0" borderId="32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1" fillId="0" borderId="17" xfId="0" applyFont="1" applyFill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0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/>
    </xf>
    <xf numFmtId="0" fontId="21" fillId="0" borderId="11" xfId="0" applyFont="1" applyFill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21" fillId="0" borderId="17" xfId="0" applyFont="1" applyBorder="1"/>
    <xf numFmtId="0" fontId="21" fillId="0" borderId="18" xfId="0" applyFont="1" applyBorder="1" applyAlignment="1"/>
    <xf numFmtId="0" fontId="10" fillId="3" borderId="12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9" fillId="4" borderId="17" xfId="0" applyFont="1" applyFill="1" applyBorder="1" applyAlignment="1">
      <alignment horizontal="center" vertical="center"/>
    </xf>
    <xf numFmtId="0" fontId="10" fillId="11" borderId="11" xfId="0" applyFont="1" applyFill="1" applyBorder="1" applyAlignment="1">
      <alignment horizontal="center" vertical="center" wrapText="1"/>
    </xf>
    <xf numFmtId="0" fontId="10" fillId="12" borderId="12" xfId="0" applyFont="1" applyFill="1" applyBorder="1" applyAlignment="1">
      <alignment vertical="center" wrapText="1"/>
    </xf>
    <xf numFmtId="3" fontId="10" fillId="0" borderId="11" xfId="0" applyNumberFormat="1" applyFont="1" applyBorder="1" applyAlignment="1">
      <alignment horizontal="center" vertical="center" wrapText="1"/>
    </xf>
    <xf numFmtId="3" fontId="23" fillId="0" borderId="11" xfId="0" applyNumberFormat="1" applyFont="1" applyBorder="1" applyAlignment="1">
      <alignment horizontal="right" vertical="center" wrapText="1"/>
    </xf>
    <xf numFmtId="3" fontId="23" fillId="0" borderId="15" xfId="0" applyNumberFormat="1" applyFont="1" applyBorder="1" applyAlignment="1">
      <alignment horizontal="right" vertical="center" wrapText="1"/>
    </xf>
    <xf numFmtId="0" fontId="10" fillId="12" borderId="12" xfId="0" applyFont="1" applyFill="1" applyBorder="1" applyAlignment="1">
      <alignment vertical="center"/>
    </xf>
    <xf numFmtId="41" fontId="23" fillId="0" borderId="11" xfId="1" applyFont="1" applyBorder="1" applyAlignment="1">
      <alignment horizontal="right" vertical="center" wrapText="1"/>
    </xf>
    <xf numFmtId="3" fontId="23" fillId="0" borderId="39" xfId="0" applyNumberFormat="1" applyFont="1" applyFill="1" applyBorder="1" applyAlignment="1">
      <alignment horizontal="right" vertical="center" wrapText="1"/>
    </xf>
    <xf numFmtId="0" fontId="10" fillId="12" borderId="16" xfId="0" applyFont="1" applyFill="1" applyBorder="1" applyAlignment="1">
      <alignment vertical="center"/>
    </xf>
    <xf numFmtId="3" fontId="24" fillId="0" borderId="17" xfId="0" applyNumberFormat="1" applyFont="1" applyBorder="1" applyAlignment="1">
      <alignment horizontal="right"/>
    </xf>
    <xf numFmtId="0" fontId="14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Fill="1" applyBorder="1" applyAlignment="1">
      <alignment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22" fillId="12" borderId="12" xfId="0" applyFont="1" applyFill="1" applyBorder="1" applyAlignment="1">
      <alignment horizontal="center" vertical="center" wrapText="1"/>
    </xf>
    <xf numFmtId="0" fontId="8" fillId="14" borderId="11" xfId="0" applyFont="1" applyFill="1" applyBorder="1" applyAlignment="1">
      <alignment horizontal="left" vertical="center" wrapText="1"/>
    </xf>
    <xf numFmtId="0" fontId="25" fillId="0" borderId="11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26" fillId="15" borderId="16" xfId="0" applyFont="1" applyFill="1" applyBorder="1" applyAlignment="1">
      <alignment horizontal="center" vertical="center" wrapText="1"/>
    </xf>
    <xf numFmtId="0" fontId="22" fillId="15" borderId="17" xfId="0" applyFont="1" applyFill="1" applyBorder="1" applyAlignment="1">
      <alignment horizontal="left" vertical="center" wrapText="1"/>
    </xf>
    <xf numFmtId="0" fontId="22" fillId="15" borderId="17" xfId="0" applyFont="1" applyFill="1" applyBorder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8" fillId="4" borderId="38" xfId="0" applyFont="1" applyFill="1" applyBorder="1" applyAlignment="1">
      <alignment horizontal="center" vertical="center" wrapText="1"/>
    </xf>
    <xf numFmtId="0" fontId="22" fillId="16" borderId="12" xfId="0" applyFont="1" applyFill="1" applyBorder="1" applyAlignment="1">
      <alignment horizontal="center" vertical="center" wrapText="1"/>
    </xf>
    <xf numFmtId="0" fontId="22" fillId="16" borderId="16" xfId="0" applyFont="1" applyFill="1" applyBorder="1" applyAlignment="1">
      <alignment horizontal="center" vertical="center" wrapText="1"/>
    </xf>
    <xf numFmtId="0" fontId="8" fillId="14" borderId="17" xfId="0" applyFont="1" applyFill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15" borderId="42" xfId="0" applyFont="1" applyFill="1" applyBorder="1" applyAlignment="1">
      <alignment horizontal="center" vertical="center" wrapText="1"/>
    </xf>
    <xf numFmtId="0" fontId="22" fillId="15" borderId="43" xfId="0" applyFont="1" applyFill="1" applyBorder="1" applyAlignment="1">
      <alignment horizontal="left" vertical="center" wrapText="1"/>
    </xf>
    <xf numFmtId="0" fontId="22" fillId="15" borderId="43" xfId="0" applyFont="1" applyFill="1" applyBorder="1" applyAlignment="1">
      <alignment horizontal="center" vertical="center" wrapText="1"/>
    </xf>
    <xf numFmtId="0" fontId="22" fillId="15" borderId="44" xfId="0" applyFont="1" applyFill="1" applyBorder="1" applyAlignment="1">
      <alignment horizontal="center" vertical="center" wrapText="1"/>
    </xf>
    <xf numFmtId="0" fontId="10" fillId="14" borderId="45" xfId="0" applyFont="1" applyFill="1" applyBorder="1" applyAlignment="1">
      <alignment horizontal="center" vertical="center" wrapText="1"/>
    </xf>
    <xf numFmtId="0" fontId="10" fillId="14" borderId="46" xfId="0" applyFont="1" applyFill="1" applyBorder="1" applyAlignment="1">
      <alignment horizontal="center" vertical="center" wrapText="1"/>
    </xf>
    <xf numFmtId="0" fontId="10" fillId="14" borderId="47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vertical="center"/>
    </xf>
    <xf numFmtId="3" fontId="10" fillId="0" borderId="13" xfId="0" applyNumberFormat="1" applyFont="1" applyFill="1" applyBorder="1" applyAlignment="1">
      <alignment horizontal="center" vertical="center"/>
    </xf>
    <xf numFmtId="3" fontId="29" fillId="0" borderId="13" xfId="0" applyNumberFormat="1" applyFont="1" applyFill="1" applyBorder="1" applyAlignment="1">
      <alignment horizontal="center" vertical="center"/>
    </xf>
    <xf numFmtId="3" fontId="29" fillId="0" borderId="39" xfId="0" applyNumberFormat="1" applyFont="1" applyFill="1" applyBorder="1" applyAlignment="1">
      <alignment horizontal="center" vertical="center"/>
    </xf>
    <xf numFmtId="3" fontId="29" fillId="0" borderId="13" xfId="0" applyNumberFormat="1" applyFont="1" applyFill="1" applyBorder="1" applyAlignment="1">
      <alignment horizontal="center" vertical="center" wrapText="1"/>
    </xf>
    <xf numFmtId="3" fontId="29" fillId="0" borderId="14" xfId="0" applyNumberFormat="1" applyFont="1" applyFill="1" applyBorder="1" applyAlignment="1">
      <alignment horizontal="center" vertical="center" wrapText="1"/>
    </xf>
    <xf numFmtId="0" fontId="10" fillId="13" borderId="12" xfId="0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horizontal="center" vertical="center"/>
    </xf>
    <xf numFmtId="3" fontId="29" fillId="0" borderId="11" xfId="0" applyNumberFormat="1" applyFont="1" applyFill="1" applyBorder="1" applyAlignment="1">
      <alignment horizontal="center" vertical="center"/>
    </xf>
    <xf numFmtId="3" fontId="29" fillId="0" borderId="11" xfId="0" applyNumberFormat="1" applyFont="1" applyFill="1" applyBorder="1" applyAlignment="1">
      <alignment horizontal="center" vertical="center" wrapText="1"/>
    </xf>
    <xf numFmtId="3" fontId="29" fillId="0" borderId="15" xfId="0" applyNumberFormat="1" applyFont="1" applyFill="1" applyBorder="1" applyAlignment="1">
      <alignment horizontal="center" vertical="center" wrapText="1"/>
    </xf>
    <xf numFmtId="0" fontId="10" fillId="13" borderId="16" xfId="0" applyFont="1" applyFill="1" applyBorder="1" applyAlignment="1">
      <alignment vertical="center"/>
    </xf>
    <xf numFmtId="3" fontId="10" fillId="0" borderId="17" xfId="0" applyNumberFormat="1" applyFont="1" applyFill="1" applyBorder="1" applyAlignment="1">
      <alignment horizontal="center" vertical="center"/>
    </xf>
    <xf numFmtId="3" fontId="10" fillId="0" borderId="18" xfId="0" applyNumberFormat="1" applyFont="1" applyFill="1" applyBorder="1" applyAlignment="1">
      <alignment horizontal="center" vertical="center"/>
    </xf>
    <xf numFmtId="0" fontId="26" fillId="0" borderId="0" xfId="0" applyFont="1"/>
    <xf numFmtId="0" fontId="23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10" fillId="14" borderId="38" xfId="0" applyFont="1" applyFill="1" applyBorder="1" applyAlignment="1">
      <alignment horizontal="center" vertical="center" wrapText="1"/>
    </xf>
    <xf numFmtId="0" fontId="10" fillId="14" borderId="17" xfId="0" applyFont="1" applyFill="1" applyBorder="1" applyAlignment="1">
      <alignment horizontal="center" vertical="center" wrapText="1"/>
    </xf>
    <xf numFmtId="0" fontId="10" fillId="14" borderId="17" xfId="0" applyFont="1" applyFill="1" applyBorder="1" applyAlignment="1">
      <alignment horizontal="center" wrapText="1"/>
    </xf>
    <xf numFmtId="0" fontId="10" fillId="17" borderId="10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/>
    </xf>
    <xf numFmtId="3" fontId="10" fillId="0" borderId="14" xfId="0" applyNumberFormat="1" applyFont="1" applyFill="1" applyBorder="1" applyAlignment="1">
      <alignment horizontal="center" vertical="center" wrapText="1"/>
    </xf>
    <xf numFmtId="0" fontId="10" fillId="17" borderId="12" xfId="0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 vertical="center"/>
    </xf>
    <xf numFmtId="3" fontId="10" fillId="0" borderId="15" xfId="0" applyNumberFormat="1" applyFont="1" applyFill="1" applyBorder="1" applyAlignment="1">
      <alignment horizontal="center" vertical="center" wrapText="1"/>
    </xf>
    <xf numFmtId="0" fontId="10" fillId="17" borderId="16" xfId="0" applyFont="1" applyFill="1" applyBorder="1" applyAlignment="1">
      <alignment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18" borderId="17" xfId="0" applyFont="1" applyFill="1" applyBorder="1" applyAlignment="1">
      <alignment horizontal="center" vertical="center"/>
    </xf>
    <xf numFmtId="0" fontId="10" fillId="18" borderId="18" xfId="0" applyFont="1" applyFill="1" applyBorder="1" applyAlignment="1">
      <alignment horizontal="center" vertical="center"/>
    </xf>
    <xf numFmtId="0" fontId="0" fillId="0" borderId="0" xfId="0" applyFill="1" applyBorder="1"/>
    <xf numFmtId="0" fontId="10" fillId="0" borderId="1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0" fontId="8" fillId="9" borderId="25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8" fillId="9" borderId="27" xfId="0" applyFont="1" applyFill="1" applyBorder="1" applyAlignment="1">
      <alignment horizontal="center" vertical="center"/>
    </xf>
    <xf numFmtId="0" fontId="15" fillId="8" borderId="19" xfId="0" applyFont="1" applyFill="1" applyBorder="1" applyAlignment="1">
      <alignment horizontal="center" vertical="center"/>
    </xf>
    <xf numFmtId="0" fontId="15" fillId="8" borderId="20" xfId="0" applyFont="1" applyFill="1" applyBorder="1" applyAlignment="1">
      <alignment horizontal="center" vertical="center"/>
    </xf>
    <xf numFmtId="0" fontId="15" fillId="8" borderId="21" xfId="0" applyFont="1" applyFill="1" applyBorder="1" applyAlignment="1">
      <alignment horizontal="center" vertical="center"/>
    </xf>
    <xf numFmtId="0" fontId="15" fillId="9" borderId="33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0" fontId="15" fillId="9" borderId="24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13" fillId="3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8" fillId="10" borderId="37" xfId="0" applyFont="1" applyFill="1" applyBorder="1" applyAlignment="1">
      <alignment horizontal="center" vertical="center"/>
    </xf>
    <xf numFmtId="0" fontId="8" fillId="10" borderId="38" xfId="0" applyFont="1" applyFill="1" applyBorder="1" applyAlignment="1">
      <alignment horizontal="center" vertical="center"/>
    </xf>
    <xf numFmtId="0" fontId="8" fillId="10" borderId="30" xfId="0" applyFont="1" applyFill="1" applyBorder="1" applyAlignment="1">
      <alignment horizontal="center" vertical="center"/>
    </xf>
    <xf numFmtId="0" fontId="8" fillId="10" borderId="12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15" xfId="0" applyFont="1" applyFill="1" applyBorder="1" applyAlignment="1">
      <alignment horizontal="center" vertical="center"/>
    </xf>
    <xf numFmtId="0" fontId="10" fillId="11" borderId="12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5" xfId="0" applyFont="1" applyFill="1" applyBorder="1" applyAlignment="1">
      <alignment horizontal="center" vertical="center" wrapText="1"/>
    </xf>
    <xf numFmtId="0" fontId="15" fillId="13" borderId="37" xfId="0" applyFont="1" applyFill="1" applyBorder="1" applyAlignment="1">
      <alignment horizontal="center" vertical="center"/>
    </xf>
    <xf numFmtId="0" fontId="15" fillId="13" borderId="38" xfId="0" applyFont="1" applyFill="1" applyBorder="1" applyAlignment="1">
      <alignment horizontal="center" vertical="center"/>
    </xf>
    <xf numFmtId="0" fontId="15" fillId="13" borderId="30" xfId="0" applyFont="1" applyFill="1" applyBorder="1" applyAlignment="1">
      <alignment horizontal="center" vertical="center"/>
    </xf>
    <xf numFmtId="0" fontId="15" fillId="13" borderId="12" xfId="0" applyFont="1" applyFill="1" applyBorder="1" applyAlignment="1">
      <alignment horizontal="center" vertical="center"/>
    </xf>
    <xf numFmtId="0" fontId="15" fillId="13" borderId="11" xfId="0" applyFont="1" applyFill="1" applyBorder="1" applyAlignment="1">
      <alignment horizontal="center" vertical="center"/>
    </xf>
    <xf numFmtId="0" fontId="15" fillId="13" borderId="15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4" fillId="8" borderId="40" xfId="0" applyFont="1" applyFill="1" applyBorder="1" applyAlignment="1">
      <alignment horizontal="center" vertical="center"/>
    </xf>
    <xf numFmtId="0" fontId="14" fillId="8" borderId="0" xfId="0" applyFont="1" applyFill="1" applyBorder="1" applyAlignment="1">
      <alignment horizontal="center" vertical="center"/>
    </xf>
    <xf numFmtId="0" fontId="14" fillId="8" borderId="41" xfId="0" applyFont="1" applyFill="1" applyBorder="1" applyAlignment="1">
      <alignment horizontal="center" vertical="center"/>
    </xf>
    <xf numFmtId="0" fontId="8" fillId="4" borderId="3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3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28" fillId="4" borderId="25" xfId="0" applyFont="1" applyFill="1" applyBorder="1" applyAlignment="1">
      <alignment horizontal="center" vertical="center"/>
    </xf>
    <xf numFmtId="0" fontId="28" fillId="4" borderId="26" xfId="0" applyFont="1" applyFill="1" applyBorder="1" applyAlignment="1">
      <alignment horizontal="center" vertical="center"/>
    </xf>
    <xf numFmtId="0" fontId="28" fillId="4" borderId="27" xfId="0" applyFont="1" applyFill="1" applyBorder="1" applyAlignment="1">
      <alignment horizontal="center" vertical="center"/>
    </xf>
    <xf numFmtId="0" fontId="10" fillId="18" borderId="37" xfId="0" applyFont="1" applyFill="1" applyBorder="1" applyAlignment="1">
      <alignment horizontal="center" vertical="center"/>
    </xf>
    <xf numFmtId="0" fontId="10" fillId="18" borderId="16" xfId="0" applyFont="1" applyFill="1" applyBorder="1" applyAlignment="1">
      <alignment horizontal="center" vertical="center"/>
    </xf>
    <xf numFmtId="0" fontId="10" fillId="18" borderId="38" xfId="0" applyFont="1" applyFill="1" applyBorder="1" applyAlignment="1">
      <alignment horizontal="center" vertical="center" wrapText="1"/>
    </xf>
    <xf numFmtId="0" fontId="10" fillId="18" borderId="8" xfId="0" applyFont="1" applyFill="1" applyBorder="1" applyAlignment="1">
      <alignment horizontal="center" vertical="center" wrapText="1"/>
    </xf>
    <xf numFmtId="0" fontId="10" fillId="18" borderId="20" xfId="0" applyFont="1" applyFill="1" applyBorder="1" applyAlignment="1">
      <alignment horizontal="center" vertical="center" wrapText="1"/>
    </xf>
    <xf numFmtId="0" fontId="10" fillId="18" borderId="21" xfId="0" applyFont="1" applyFill="1" applyBorder="1" applyAlignment="1">
      <alignment horizontal="center" vertical="center" wrapText="1"/>
    </xf>
    <xf numFmtId="0" fontId="10" fillId="14" borderId="38" xfId="0" applyFont="1" applyFill="1" applyBorder="1" applyAlignment="1">
      <alignment horizontal="center" vertical="center" wrapText="1"/>
    </xf>
    <xf numFmtId="0" fontId="10" fillId="14" borderId="17" xfId="0" applyFont="1" applyFill="1" applyBorder="1" applyAlignment="1">
      <alignment horizontal="center" vertical="center" wrapText="1"/>
    </xf>
    <xf numFmtId="0" fontId="10" fillId="14" borderId="30" xfId="0" applyFont="1" applyFill="1" applyBorder="1" applyAlignment="1">
      <alignment horizontal="center" vertical="center" wrapText="1"/>
    </xf>
    <xf numFmtId="0" fontId="10" fillId="14" borderId="18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/>
    </xf>
    <xf numFmtId="0" fontId="14" fillId="9" borderId="26" xfId="0" applyFont="1" applyFill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28" fillId="9" borderId="4" xfId="0" applyFont="1" applyFill="1" applyBorder="1" applyAlignment="1">
      <alignment horizontal="center" vertical="center"/>
    </xf>
    <xf numFmtId="0" fontId="28" fillId="9" borderId="5" xfId="0" applyFont="1" applyFill="1" applyBorder="1" applyAlignment="1">
      <alignment horizontal="center" vertical="center"/>
    </xf>
    <xf numFmtId="0" fontId="28" fillId="9" borderId="6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4" fillId="4" borderId="26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4" fillId="4" borderId="4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/>
    </xf>
    <xf numFmtId="0" fontId="10" fillId="14" borderId="37" xfId="0" applyFont="1" applyFill="1" applyBorder="1" applyAlignment="1">
      <alignment horizontal="center" vertical="center" wrapText="1"/>
    </xf>
    <xf numFmtId="0" fontId="10" fillId="14" borderId="16" xfId="0" applyFont="1" applyFill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opLeftCell="A52" workbookViewId="0">
      <selection activeCell="A74" sqref="A74"/>
    </sheetView>
  </sheetViews>
  <sheetFormatPr defaultRowHeight="15" x14ac:dyDescent="0.25"/>
  <cols>
    <col min="1" max="1" width="45.42578125" customWidth="1"/>
  </cols>
  <sheetData>
    <row r="1" spans="1:13" ht="15" customHeight="1" x14ac:dyDescent="0.25">
      <c r="A1" s="160" t="s">
        <v>0</v>
      </c>
      <c r="B1" s="161"/>
      <c r="C1" s="161"/>
      <c r="D1" s="161"/>
      <c r="E1" s="161"/>
      <c r="F1" s="161"/>
      <c r="G1" s="161"/>
      <c r="H1" s="161"/>
      <c r="I1" s="162"/>
      <c r="J1" s="13"/>
      <c r="K1" s="13"/>
      <c r="L1" s="13"/>
      <c r="M1" s="13"/>
    </row>
    <row r="2" spans="1:13" ht="15.75" customHeight="1" thickBot="1" x14ac:dyDescent="0.3">
      <c r="A2" s="163"/>
      <c r="B2" s="164"/>
      <c r="C2" s="164"/>
      <c r="D2" s="164"/>
      <c r="E2" s="164"/>
      <c r="F2" s="164"/>
      <c r="G2" s="164"/>
      <c r="H2" s="164"/>
      <c r="I2" s="165"/>
      <c r="J2" s="13"/>
      <c r="K2" s="13"/>
      <c r="L2" s="13"/>
      <c r="M2" s="13"/>
    </row>
    <row r="3" spans="1:13" x14ac:dyDescent="0.25">
      <c r="A3" s="166" t="s">
        <v>1</v>
      </c>
      <c r="B3" s="168" t="s">
        <v>2</v>
      </c>
      <c r="C3" s="169"/>
      <c r="D3" s="168" t="s">
        <v>3</v>
      </c>
      <c r="E3" s="169"/>
      <c r="F3" s="168" t="s">
        <v>4</v>
      </c>
      <c r="G3" s="169"/>
      <c r="H3" s="168" t="s">
        <v>5</v>
      </c>
      <c r="I3" s="169"/>
    </row>
    <row r="4" spans="1:13" x14ac:dyDescent="0.25">
      <c r="A4" s="167"/>
      <c r="B4" s="1" t="s">
        <v>6</v>
      </c>
      <c r="C4" s="1" t="s">
        <v>7</v>
      </c>
      <c r="D4" s="1" t="s">
        <v>6</v>
      </c>
      <c r="E4" s="1" t="s">
        <v>7</v>
      </c>
      <c r="F4" s="1" t="s">
        <v>6</v>
      </c>
      <c r="G4" s="1" t="s">
        <v>7</v>
      </c>
      <c r="H4" s="1" t="s">
        <v>6</v>
      </c>
      <c r="I4" s="1" t="s">
        <v>7</v>
      </c>
    </row>
    <row r="5" spans="1:13" x14ac:dyDescent="0.25">
      <c r="A5" s="2" t="s">
        <v>8</v>
      </c>
      <c r="B5" s="3">
        <f>B6+B11+B19+B27+B38</f>
        <v>2420</v>
      </c>
      <c r="C5" s="3">
        <f t="shared" ref="C5:H5" si="0">C6+C11+C19+C27+C38</f>
        <v>150173</v>
      </c>
      <c r="D5" s="3">
        <f t="shared" si="0"/>
        <v>3597</v>
      </c>
      <c r="E5" s="3">
        <f t="shared" si="0"/>
        <v>270212</v>
      </c>
      <c r="F5" s="3">
        <f t="shared" si="0"/>
        <v>1962</v>
      </c>
      <c r="G5" s="3">
        <f t="shared" si="0"/>
        <v>49389</v>
      </c>
      <c r="H5" s="3">
        <f t="shared" si="0"/>
        <v>5280</v>
      </c>
      <c r="I5" s="3">
        <f>I6+I11+I19+I27+I38</f>
        <v>216646</v>
      </c>
    </row>
    <row r="6" spans="1:13" x14ac:dyDescent="0.25">
      <c r="A6" s="4" t="s">
        <v>9</v>
      </c>
      <c r="B6" s="5">
        <f>SUM(B7:B10)</f>
        <v>540</v>
      </c>
      <c r="C6" s="5">
        <f t="shared" ref="C6:I6" si="1">SUM(C7:C10)</f>
        <v>63282</v>
      </c>
      <c r="D6" s="5">
        <f t="shared" si="1"/>
        <v>899</v>
      </c>
      <c r="E6" s="5">
        <f t="shared" si="1"/>
        <v>74797</v>
      </c>
      <c r="F6" s="5">
        <f t="shared" si="1"/>
        <v>524</v>
      </c>
      <c r="G6" s="5">
        <f t="shared" si="1"/>
        <v>6527</v>
      </c>
      <c r="H6" s="5">
        <f t="shared" si="1"/>
        <v>1157</v>
      </c>
      <c r="I6" s="5">
        <f t="shared" si="1"/>
        <v>74901</v>
      </c>
    </row>
    <row r="7" spans="1:13" x14ac:dyDescent="0.25">
      <c r="A7" s="6" t="s">
        <v>10</v>
      </c>
      <c r="B7" s="7">
        <v>41</v>
      </c>
      <c r="C7" s="7">
        <v>10308</v>
      </c>
      <c r="D7" s="7">
        <v>58</v>
      </c>
      <c r="E7" s="7">
        <v>13720</v>
      </c>
      <c r="F7" s="7">
        <v>22</v>
      </c>
      <c r="G7" s="7">
        <v>1013</v>
      </c>
      <c r="H7" s="7">
        <v>90</v>
      </c>
      <c r="I7" s="7">
        <v>13484</v>
      </c>
    </row>
    <row r="8" spans="1:13" x14ac:dyDescent="0.25">
      <c r="A8" s="8" t="s">
        <v>11</v>
      </c>
      <c r="B8" s="7">
        <f>136+55</f>
        <v>191</v>
      </c>
      <c r="C8" s="7">
        <f>9463+4731+3663</f>
        <v>17857</v>
      </c>
      <c r="D8" s="7">
        <f>345+65</f>
        <v>410</v>
      </c>
      <c r="E8" s="7">
        <f>10072+5036+8012</f>
        <v>23120</v>
      </c>
      <c r="F8" s="7">
        <f>172+41</f>
        <v>213</v>
      </c>
      <c r="G8" s="7">
        <f>825+413+148</f>
        <v>1386</v>
      </c>
      <c r="H8" s="7">
        <f>531+27</f>
        <v>558</v>
      </c>
      <c r="I8" s="7">
        <f>10266+5133+1925</f>
        <v>17324</v>
      </c>
    </row>
    <row r="9" spans="1:13" x14ac:dyDescent="0.25">
      <c r="A9" s="8" t="s">
        <v>12</v>
      </c>
      <c r="B9" s="7">
        <v>282</v>
      </c>
      <c r="C9" s="7">
        <f>20959+10480+3265</f>
        <v>34704</v>
      </c>
      <c r="D9" s="7">
        <v>389</v>
      </c>
      <c r="E9" s="7">
        <f>19855+9928+7927</f>
        <v>37710</v>
      </c>
      <c r="F9" s="7">
        <v>248</v>
      </c>
      <c r="G9" s="7">
        <f>2547+1273+233</f>
        <v>4053</v>
      </c>
      <c r="H9" s="7">
        <v>416</v>
      </c>
      <c r="I9" s="7">
        <f>27529+13765+2439</f>
        <v>43733</v>
      </c>
    </row>
    <row r="10" spans="1:13" x14ac:dyDescent="0.25">
      <c r="A10" s="8" t="s">
        <v>13</v>
      </c>
      <c r="B10" s="7">
        <v>26</v>
      </c>
      <c r="C10" s="7">
        <v>413</v>
      </c>
      <c r="D10" s="7">
        <v>42</v>
      </c>
      <c r="E10" s="7">
        <v>247</v>
      </c>
      <c r="F10" s="7">
        <v>41</v>
      </c>
      <c r="G10" s="7">
        <v>75</v>
      </c>
      <c r="H10" s="7">
        <v>93</v>
      </c>
      <c r="I10" s="7">
        <v>360</v>
      </c>
    </row>
    <row r="11" spans="1:13" x14ac:dyDescent="0.25">
      <c r="A11" s="4" t="s">
        <v>14</v>
      </c>
      <c r="B11" s="5">
        <f>SUM(B12:B18)</f>
        <v>1220</v>
      </c>
      <c r="C11" s="5">
        <f t="shared" ref="C11:I11" si="2">SUM(C12:C18)</f>
        <v>53759</v>
      </c>
      <c r="D11" s="5">
        <f t="shared" si="2"/>
        <v>2044</v>
      </c>
      <c r="E11" s="5">
        <f t="shared" si="2"/>
        <v>160194</v>
      </c>
      <c r="F11" s="5">
        <f t="shared" si="2"/>
        <v>1224</v>
      </c>
      <c r="G11" s="5">
        <f t="shared" si="2"/>
        <v>30374</v>
      </c>
      <c r="H11" s="5">
        <f t="shared" si="2"/>
        <v>3502</v>
      </c>
      <c r="I11" s="5">
        <f t="shared" si="2"/>
        <v>118993</v>
      </c>
    </row>
    <row r="12" spans="1:13" x14ac:dyDescent="0.25">
      <c r="A12" s="8" t="s">
        <v>15</v>
      </c>
      <c r="B12" s="7">
        <v>467</v>
      </c>
      <c r="C12" s="7">
        <v>16941</v>
      </c>
      <c r="D12" s="7">
        <v>819</v>
      </c>
      <c r="E12" s="7">
        <v>17719</v>
      </c>
      <c r="F12" s="7">
        <v>382</v>
      </c>
      <c r="G12" s="7">
        <v>2451</v>
      </c>
      <c r="H12" s="7">
        <v>918</v>
      </c>
      <c r="I12" s="7">
        <v>19748</v>
      </c>
    </row>
    <row r="13" spans="1:13" x14ac:dyDescent="0.25">
      <c r="A13" s="9" t="s">
        <v>16</v>
      </c>
      <c r="B13" s="7">
        <v>1</v>
      </c>
      <c r="C13" s="7">
        <v>5800</v>
      </c>
      <c r="D13" s="7">
        <v>2</v>
      </c>
      <c r="E13" s="7">
        <v>5330</v>
      </c>
      <c r="F13" s="7">
        <v>1</v>
      </c>
      <c r="G13" s="7">
        <v>2490</v>
      </c>
      <c r="H13" s="7">
        <v>2</v>
      </c>
      <c r="I13" s="7">
        <v>2850</v>
      </c>
    </row>
    <row r="14" spans="1:13" x14ac:dyDescent="0.25">
      <c r="A14" s="9" t="s">
        <v>17</v>
      </c>
      <c r="B14" s="32"/>
      <c r="C14" s="32"/>
      <c r="D14" s="32"/>
      <c r="E14" s="32"/>
      <c r="F14" s="32"/>
      <c r="G14" s="32"/>
      <c r="H14" s="32"/>
      <c r="I14" s="32"/>
    </row>
    <row r="15" spans="1:13" x14ac:dyDescent="0.25">
      <c r="A15" s="9" t="s">
        <v>18</v>
      </c>
      <c r="B15" s="7">
        <v>444</v>
      </c>
      <c r="C15" s="7">
        <v>11993</v>
      </c>
      <c r="D15" s="7">
        <v>506</v>
      </c>
      <c r="E15" s="7">
        <v>114400</v>
      </c>
      <c r="F15" s="7">
        <v>567</v>
      </c>
      <c r="G15" s="7">
        <v>10524</v>
      </c>
      <c r="H15" s="7">
        <v>2207</v>
      </c>
      <c r="I15" s="7">
        <v>37417</v>
      </c>
    </row>
    <row r="16" spans="1:13" x14ac:dyDescent="0.25">
      <c r="A16" s="9" t="s">
        <v>19</v>
      </c>
      <c r="B16" s="7">
        <v>110</v>
      </c>
      <c r="C16" s="7">
        <v>5545</v>
      </c>
      <c r="D16" s="7">
        <v>266</v>
      </c>
      <c r="E16" s="7">
        <v>5740</v>
      </c>
      <c r="F16" s="7">
        <v>96</v>
      </c>
      <c r="G16" s="7">
        <v>11759</v>
      </c>
      <c r="H16" s="7">
        <v>35</v>
      </c>
      <c r="I16" s="7">
        <v>16370</v>
      </c>
    </row>
    <row r="17" spans="1:9" x14ac:dyDescent="0.25">
      <c r="A17" s="9" t="s">
        <v>20</v>
      </c>
      <c r="B17" s="7">
        <v>0</v>
      </c>
      <c r="C17" s="7">
        <v>1150</v>
      </c>
      <c r="D17" s="7">
        <v>3</v>
      </c>
      <c r="E17" s="7">
        <v>1246</v>
      </c>
      <c r="F17" s="7">
        <v>3</v>
      </c>
      <c r="G17" s="7">
        <v>1235</v>
      </c>
      <c r="H17" s="7">
        <v>0</v>
      </c>
      <c r="I17" s="7">
        <v>1263</v>
      </c>
    </row>
    <row r="18" spans="1:9" x14ac:dyDescent="0.25">
      <c r="A18" s="9" t="s">
        <v>21</v>
      </c>
      <c r="B18" s="7">
        <v>198</v>
      </c>
      <c r="C18" s="7">
        <v>12330</v>
      </c>
      <c r="D18" s="7">
        <v>448</v>
      </c>
      <c r="E18" s="7">
        <v>15759</v>
      </c>
      <c r="F18" s="7">
        <v>175</v>
      </c>
      <c r="G18" s="7">
        <v>1915</v>
      </c>
      <c r="H18" s="7">
        <v>340</v>
      </c>
      <c r="I18" s="7">
        <v>41345</v>
      </c>
    </row>
    <row r="19" spans="1:9" x14ac:dyDescent="0.25">
      <c r="A19" s="4" t="s">
        <v>22</v>
      </c>
      <c r="B19" s="5">
        <f>SUM(B20:B26)</f>
        <v>345</v>
      </c>
      <c r="C19" s="5">
        <f t="shared" ref="C19:I19" si="3">SUM(C20:C26)</f>
        <v>25070</v>
      </c>
      <c r="D19" s="5">
        <f t="shared" si="3"/>
        <v>328</v>
      </c>
      <c r="E19" s="5">
        <f t="shared" si="3"/>
        <v>26936</v>
      </c>
      <c r="F19" s="5">
        <f t="shared" si="3"/>
        <v>32</v>
      </c>
      <c r="G19" s="5">
        <f t="shared" si="3"/>
        <v>10320</v>
      </c>
      <c r="H19" s="5">
        <f t="shared" si="3"/>
        <v>40</v>
      </c>
      <c r="I19" s="5">
        <f t="shared" si="3"/>
        <v>11925</v>
      </c>
    </row>
    <row r="20" spans="1:9" x14ac:dyDescent="0.25">
      <c r="A20" s="9" t="s">
        <v>23</v>
      </c>
      <c r="B20" s="7">
        <v>50</v>
      </c>
      <c r="C20" s="7">
        <f>684+298+775+95+10</f>
        <v>1862</v>
      </c>
      <c r="D20" s="7">
        <v>49</v>
      </c>
      <c r="E20" s="7">
        <f>396+616+1423+154+10</f>
        <v>2599</v>
      </c>
      <c r="F20" s="7">
        <v>21</v>
      </c>
      <c r="G20" s="7">
        <f>358+339</f>
        <v>697</v>
      </c>
      <c r="H20" s="7">
        <v>33</v>
      </c>
      <c r="I20" s="7">
        <f>423+325+330+46+10</f>
        <v>1134</v>
      </c>
    </row>
    <row r="21" spans="1:9" x14ac:dyDescent="0.25">
      <c r="A21" s="9" t="s">
        <v>24</v>
      </c>
      <c r="B21" s="7">
        <v>5</v>
      </c>
      <c r="C21" s="7">
        <f>900+350</f>
        <v>1250</v>
      </c>
      <c r="D21" s="7">
        <v>4</v>
      </c>
      <c r="E21" s="7">
        <f>900</f>
        <v>900</v>
      </c>
      <c r="F21" s="7">
        <v>4</v>
      </c>
      <c r="G21" s="7">
        <f>450+200</f>
        <v>650</v>
      </c>
      <c r="H21" s="7">
        <v>2</v>
      </c>
      <c r="I21" s="7">
        <v>1400</v>
      </c>
    </row>
    <row r="22" spans="1:9" x14ac:dyDescent="0.25">
      <c r="A22" s="9" t="s">
        <v>25</v>
      </c>
      <c r="B22" s="7">
        <v>48</v>
      </c>
      <c r="C22" s="7">
        <f>1690+760</f>
        <v>2450</v>
      </c>
      <c r="D22" s="7">
        <v>96</v>
      </c>
      <c r="E22" s="7">
        <f>1970+1090</f>
        <v>3060</v>
      </c>
      <c r="F22" s="7">
        <v>7</v>
      </c>
      <c r="G22" s="7">
        <f>1980+300+90</f>
        <v>2370</v>
      </c>
      <c r="H22" s="7">
        <v>5</v>
      </c>
      <c r="I22" s="7">
        <f>1280+100+300</f>
        <v>1680</v>
      </c>
    </row>
    <row r="23" spans="1:9" x14ac:dyDescent="0.25">
      <c r="A23" s="9" t="s">
        <v>26</v>
      </c>
      <c r="B23" s="7">
        <v>65</v>
      </c>
      <c r="C23" s="7">
        <v>11500</v>
      </c>
      <c r="D23" s="7">
        <v>60</v>
      </c>
      <c r="E23" s="7">
        <v>10450</v>
      </c>
      <c r="F23" s="32"/>
      <c r="G23" s="32"/>
      <c r="H23" s="32"/>
      <c r="I23" s="32"/>
    </row>
    <row r="24" spans="1:9" x14ac:dyDescent="0.25">
      <c r="A24" s="9" t="s">
        <v>27</v>
      </c>
      <c r="B24" s="7">
        <v>4</v>
      </c>
      <c r="C24" s="7">
        <f>3520+653+254+39</f>
        <v>4466</v>
      </c>
      <c r="D24" s="7">
        <v>6</v>
      </c>
      <c r="E24" s="7">
        <f>2139+3951+317+36</f>
        <v>6443</v>
      </c>
      <c r="F24" s="7">
        <v>0</v>
      </c>
      <c r="G24" s="7">
        <f>2273+4112+198+20</f>
        <v>6603</v>
      </c>
      <c r="H24" s="7">
        <v>0</v>
      </c>
      <c r="I24" s="7">
        <f>2717+4587+379+28</f>
        <v>7711</v>
      </c>
    </row>
    <row r="25" spans="1:9" x14ac:dyDescent="0.25">
      <c r="A25" s="9" t="s">
        <v>28</v>
      </c>
      <c r="B25" s="7">
        <v>35</v>
      </c>
      <c r="C25" s="7">
        <v>1786</v>
      </c>
      <c r="D25" s="7">
        <v>27</v>
      </c>
      <c r="E25" s="7">
        <v>1420</v>
      </c>
      <c r="F25" s="32"/>
      <c r="G25" s="32"/>
      <c r="H25" s="32"/>
      <c r="I25" s="32"/>
    </row>
    <row r="26" spans="1:9" x14ac:dyDescent="0.25">
      <c r="A26" s="9" t="s">
        <v>29</v>
      </c>
      <c r="B26" s="7">
        <v>138</v>
      </c>
      <c r="C26" s="7">
        <v>1756</v>
      </c>
      <c r="D26" s="7">
        <v>86</v>
      </c>
      <c r="E26" s="7">
        <v>2064</v>
      </c>
      <c r="F26" s="12"/>
      <c r="G26" s="12"/>
      <c r="H26" s="32"/>
      <c r="I26" s="32"/>
    </row>
    <row r="27" spans="1:9" x14ac:dyDescent="0.25">
      <c r="A27" s="4" t="s">
        <v>30</v>
      </c>
      <c r="B27" s="5">
        <f>SUM(B28:B37)</f>
        <v>314</v>
      </c>
      <c r="C27" s="5">
        <f t="shared" ref="C27:I27" si="4">SUM(C28:C37)</f>
        <v>8017</v>
      </c>
      <c r="D27" s="5">
        <f t="shared" si="4"/>
        <v>326</v>
      </c>
      <c r="E27" s="5">
        <f t="shared" si="4"/>
        <v>8153</v>
      </c>
      <c r="F27" s="5">
        <f t="shared" si="4"/>
        <v>179</v>
      </c>
      <c r="G27" s="5">
        <f t="shared" si="4"/>
        <v>2131</v>
      </c>
      <c r="H27" s="5">
        <f t="shared" si="4"/>
        <v>581</v>
      </c>
      <c r="I27" s="5">
        <f t="shared" si="4"/>
        <v>10715</v>
      </c>
    </row>
    <row r="28" spans="1:9" x14ac:dyDescent="0.25">
      <c r="A28" s="9" t="s">
        <v>31</v>
      </c>
      <c r="B28" s="7">
        <f>122+57</f>
        <v>179</v>
      </c>
      <c r="C28" s="7">
        <f>1165+1600+1264</f>
        <v>4029</v>
      </c>
      <c r="D28" s="10">
        <f>206+3+4+3+3+4+3+3+2</f>
        <v>231</v>
      </c>
      <c r="E28" s="10">
        <f>1535+1547+1200</f>
        <v>4282</v>
      </c>
      <c r="F28" s="10">
        <v>152</v>
      </c>
      <c r="G28" s="10">
        <f>89+359+200</f>
        <v>648</v>
      </c>
      <c r="H28" s="10">
        <f>8+295</f>
        <v>303</v>
      </c>
      <c r="I28" s="10">
        <f>456+2000+1253</f>
        <v>3709</v>
      </c>
    </row>
    <row r="29" spans="1:9" x14ac:dyDescent="0.25">
      <c r="A29" s="11" t="s">
        <v>32</v>
      </c>
      <c r="B29" s="7">
        <f>4+7+37+1+1+26</f>
        <v>76</v>
      </c>
      <c r="C29" s="7">
        <f>153+415+242</f>
        <v>810</v>
      </c>
      <c r="D29" s="7">
        <v>48</v>
      </c>
      <c r="E29" s="7">
        <f>122+415+238</f>
        <v>775</v>
      </c>
      <c r="F29" s="7">
        <v>4</v>
      </c>
      <c r="G29" s="7">
        <f>78+101+94</f>
        <v>273</v>
      </c>
      <c r="H29" s="7">
        <v>131</v>
      </c>
      <c r="I29" s="7">
        <f>205+515</f>
        <v>720</v>
      </c>
    </row>
    <row r="30" spans="1:9" x14ac:dyDescent="0.25">
      <c r="A30" s="8" t="s">
        <v>33</v>
      </c>
      <c r="B30" s="10">
        <v>0</v>
      </c>
      <c r="C30" s="10">
        <f>460+150+45</f>
        <v>655</v>
      </c>
      <c r="D30" s="10">
        <v>0</v>
      </c>
      <c r="E30" s="10">
        <f>420+150+45</f>
        <v>615</v>
      </c>
      <c r="F30" s="10">
        <v>2</v>
      </c>
      <c r="G30" s="10">
        <f>116+25+11</f>
        <v>152</v>
      </c>
      <c r="H30" s="10">
        <v>7</v>
      </c>
      <c r="I30" s="10">
        <v>221</v>
      </c>
    </row>
    <row r="31" spans="1:9" x14ac:dyDescent="0.25">
      <c r="A31" s="8" t="s">
        <v>34</v>
      </c>
      <c r="B31" s="12"/>
      <c r="C31" s="12"/>
      <c r="D31" s="12"/>
      <c r="E31" s="12"/>
      <c r="F31" s="12"/>
      <c r="G31" s="12"/>
      <c r="H31" s="12"/>
      <c r="I31" s="12"/>
    </row>
    <row r="32" spans="1:9" x14ac:dyDescent="0.25">
      <c r="A32" s="8" t="s">
        <v>35</v>
      </c>
      <c r="B32" s="7">
        <v>0</v>
      </c>
      <c r="C32" s="7">
        <f>13+50+27</f>
        <v>90</v>
      </c>
      <c r="D32" s="7">
        <v>7</v>
      </c>
      <c r="E32" s="7">
        <f>52+40+12</f>
        <v>104</v>
      </c>
      <c r="F32" s="7">
        <v>5</v>
      </c>
      <c r="G32" s="7">
        <f>54+16+5</f>
        <v>75</v>
      </c>
      <c r="H32" s="7">
        <v>9</v>
      </c>
      <c r="I32" s="7">
        <f>272+200+138</f>
        <v>610</v>
      </c>
    </row>
    <row r="33" spans="1:13" x14ac:dyDescent="0.25">
      <c r="A33" s="8" t="s">
        <v>36</v>
      </c>
      <c r="B33" s="7">
        <v>1</v>
      </c>
      <c r="C33" s="7">
        <f>447+800+446</f>
        <v>1693</v>
      </c>
      <c r="D33" s="7">
        <v>3</v>
      </c>
      <c r="E33" s="7">
        <f>450+800+262</f>
        <v>1512</v>
      </c>
      <c r="F33" s="7">
        <v>0</v>
      </c>
      <c r="G33" s="7">
        <f>438+200+112</f>
        <v>750</v>
      </c>
      <c r="H33" s="7">
        <v>0</v>
      </c>
      <c r="I33" s="7">
        <f>566+1000+691</f>
        <v>2257</v>
      </c>
    </row>
    <row r="34" spans="1:13" x14ac:dyDescent="0.25">
      <c r="A34" s="8" t="s">
        <v>37</v>
      </c>
      <c r="B34" s="7">
        <v>0</v>
      </c>
      <c r="C34" s="7">
        <f>70+48</f>
        <v>118</v>
      </c>
      <c r="D34" s="7">
        <v>0</v>
      </c>
      <c r="E34" s="7">
        <f>69+56</f>
        <v>125</v>
      </c>
      <c r="F34" s="7">
        <v>0</v>
      </c>
      <c r="G34" s="7">
        <f>69+35</f>
        <v>104</v>
      </c>
      <c r="H34" s="7">
        <v>0</v>
      </c>
      <c r="I34" s="7">
        <f>49+56</f>
        <v>105</v>
      </c>
    </row>
    <row r="35" spans="1:13" x14ac:dyDescent="0.25">
      <c r="A35" s="8" t="s">
        <v>38</v>
      </c>
      <c r="B35" s="7">
        <f>8+6+25+7</f>
        <v>46</v>
      </c>
      <c r="C35" s="7">
        <f>120+76+218</f>
        <v>414</v>
      </c>
      <c r="D35" s="7">
        <v>36</v>
      </c>
      <c r="E35" s="7">
        <f>159+105+84</f>
        <v>348</v>
      </c>
      <c r="F35" s="7">
        <v>7</v>
      </c>
      <c r="G35" s="7">
        <f>30+20+6</f>
        <v>56</v>
      </c>
      <c r="H35" s="7">
        <f>10+12+66</f>
        <v>88</v>
      </c>
      <c r="I35" s="7">
        <f>59+27+95</f>
        <v>181</v>
      </c>
    </row>
    <row r="36" spans="1:13" x14ac:dyDescent="0.25">
      <c r="A36" s="8" t="s">
        <v>39</v>
      </c>
      <c r="B36" s="12"/>
      <c r="C36" s="12"/>
      <c r="D36" s="12"/>
      <c r="E36" s="12"/>
      <c r="F36" s="12"/>
      <c r="G36" s="12"/>
      <c r="H36" s="12"/>
      <c r="I36" s="12"/>
    </row>
    <row r="37" spans="1:13" x14ac:dyDescent="0.25">
      <c r="A37" s="8" t="s">
        <v>40</v>
      </c>
      <c r="B37" s="7">
        <v>12</v>
      </c>
      <c r="C37" s="7">
        <f>26+102+80</f>
        <v>208</v>
      </c>
      <c r="D37" s="7">
        <v>1</v>
      </c>
      <c r="E37" s="7">
        <f>61+200+131</f>
        <v>392</v>
      </c>
      <c r="F37" s="7">
        <v>9</v>
      </c>
      <c r="G37" s="7">
        <f>9+40+24</f>
        <v>73</v>
      </c>
      <c r="H37" s="7">
        <v>43</v>
      </c>
      <c r="I37" s="7">
        <f>672+1740+500</f>
        <v>2912</v>
      </c>
    </row>
    <row r="38" spans="1:13" x14ac:dyDescent="0.25">
      <c r="A38" s="4" t="s">
        <v>41</v>
      </c>
      <c r="B38" s="5">
        <f>SUM(B39:B42)</f>
        <v>1</v>
      </c>
      <c r="C38" s="5">
        <f t="shared" ref="C38:I38" si="5">SUM(C39:C42)</f>
        <v>45</v>
      </c>
      <c r="D38" s="5">
        <f t="shared" si="5"/>
        <v>0</v>
      </c>
      <c r="E38" s="5">
        <f t="shared" si="5"/>
        <v>132</v>
      </c>
      <c r="F38" s="5">
        <f t="shared" si="5"/>
        <v>3</v>
      </c>
      <c r="G38" s="5">
        <f t="shared" si="5"/>
        <v>37</v>
      </c>
      <c r="H38" s="5">
        <f t="shared" si="5"/>
        <v>0</v>
      </c>
      <c r="I38" s="5">
        <f t="shared" si="5"/>
        <v>112</v>
      </c>
    </row>
    <row r="39" spans="1:13" x14ac:dyDescent="0.25">
      <c r="A39" s="8" t="s">
        <v>42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24</v>
      </c>
    </row>
    <row r="40" spans="1:13" x14ac:dyDescent="0.25">
      <c r="A40" s="8" t="s">
        <v>43</v>
      </c>
      <c r="B40" s="7">
        <v>0</v>
      </c>
      <c r="C40" s="7">
        <v>29</v>
      </c>
      <c r="D40" s="7">
        <v>0</v>
      </c>
      <c r="E40" s="7">
        <v>114</v>
      </c>
      <c r="F40" s="7">
        <v>0</v>
      </c>
      <c r="G40" s="7">
        <v>25</v>
      </c>
      <c r="H40" s="7">
        <v>0</v>
      </c>
      <c r="I40" s="7">
        <v>73</v>
      </c>
    </row>
    <row r="41" spans="1:13" x14ac:dyDescent="0.25">
      <c r="A41" s="8" t="s">
        <v>44</v>
      </c>
      <c r="B41" s="7">
        <v>1</v>
      </c>
      <c r="C41" s="7">
        <v>16</v>
      </c>
      <c r="D41" s="7">
        <v>0</v>
      </c>
      <c r="E41" s="7">
        <v>18</v>
      </c>
      <c r="F41" s="7">
        <v>3</v>
      </c>
      <c r="G41" s="7">
        <v>12</v>
      </c>
      <c r="H41" s="7">
        <v>0</v>
      </c>
      <c r="I41" s="7">
        <v>15</v>
      </c>
    </row>
    <row r="43" spans="1:13" ht="15.75" thickBot="1" x14ac:dyDescent="0.3"/>
    <row r="44" spans="1:13" ht="15" customHeight="1" x14ac:dyDescent="0.25">
      <c r="A44" s="160" t="s">
        <v>45</v>
      </c>
      <c r="B44" s="161"/>
      <c r="C44" s="161"/>
      <c r="D44" s="161"/>
      <c r="E44" s="161"/>
      <c r="F44" s="161"/>
      <c r="G44" s="161"/>
      <c r="H44" s="161"/>
      <c r="I44" s="162"/>
      <c r="J44" s="13"/>
      <c r="K44" s="13"/>
      <c r="L44" s="13"/>
      <c r="M44" s="13"/>
    </row>
    <row r="45" spans="1:13" ht="15.75" customHeight="1" thickBot="1" x14ac:dyDescent="0.3">
      <c r="A45" s="163"/>
      <c r="B45" s="164"/>
      <c r="C45" s="164"/>
      <c r="D45" s="164"/>
      <c r="E45" s="164"/>
      <c r="F45" s="164"/>
      <c r="G45" s="164"/>
      <c r="H45" s="164"/>
      <c r="I45" s="165"/>
      <c r="J45" s="13"/>
      <c r="K45" s="13"/>
      <c r="L45" s="13"/>
      <c r="M45" s="13"/>
    </row>
    <row r="46" spans="1:13" x14ac:dyDescent="0.25">
      <c r="A46" s="167" t="s">
        <v>1</v>
      </c>
      <c r="B46" s="171" t="s">
        <v>2</v>
      </c>
      <c r="C46" s="171"/>
      <c r="D46" s="171" t="s">
        <v>3</v>
      </c>
      <c r="E46" s="171"/>
      <c r="F46" s="171" t="s">
        <v>46</v>
      </c>
      <c r="G46" s="171"/>
      <c r="H46" s="171" t="s">
        <v>5</v>
      </c>
      <c r="I46" s="172"/>
      <c r="J46" s="31"/>
      <c r="K46" s="31"/>
      <c r="L46" s="31"/>
      <c r="M46" s="31"/>
    </row>
    <row r="47" spans="1:13" x14ac:dyDescent="0.25">
      <c r="A47" s="170"/>
      <c r="B47" s="1" t="s">
        <v>6</v>
      </c>
      <c r="C47" s="1" t="s">
        <v>7</v>
      </c>
      <c r="D47" s="1" t="s">
        <v>6</v>
      </c>
      <c r="E47" s="1" t="s">
        <v>7</v>
      </c>
      <c r="F47" s="1" t="s">
        <v>6</v>
      </c>
      <c r="G47" s="1" t="s">
        <v>7</v>
      </c>
      <c r="H47" s="1" t="s">
        <v>6</v>
      </c>
      <c r="I47" s="14" t="s">
        <v>7</v>
      </c>
      <c r="J47" s="26"/>
      <c r="K47" s="26"/>
      <c r="L47" s="26"/>
      <c r="M47" s="26"/>
    </row>
    <row r="48" spans="1:13" x14ac:dyDescent="0.25">
      <c r="A48" s="2" t="s">
        <v>8</v>
      </c>
      <c r="B48" s="3">
        <f>B49+B57+B62+B77</f>
        <v>1430</v>
      </c>
      <c r="C48" s="3">
        <f t="shared" ref="C48:I48" si="6">C49+C57+C62+C77</f>
        <v>98471</v>
      </c>
      <c r="D48" s="3">
        <f t="shared" si="6"/>
        <v>1892</v>
      </c>
      <c r="E48" s="3">
        <f t="shared" si="6"/>
        <v>208451</v>
      </c>
      <c r="F48" s="3">
        <f t="shared" si="6"/>
        <v>1730</v>
      </c>
      <c r="G48" s="3">
        <f t="shared" si="6"/>
        <v>92756</v>
      </c>
      <c r="H48" s="3">
        <f t="shared" si="6"/>
        <v>5296</v>
      </c>
      <c r="I48" s="25">
        <f t="shared" si="6"/>
        <v>311832</v>
      </c>
      <c r="J48" s="27"/>
      <c r="K48" s="27"/>
      <c r="L48" s="27"/>
      <c r="M48" s="27"/>
    </row>
    <row r="49" spans="1:13" x14ac:dyDescent="0.25">
      <c r="A49" s="4" t="s">
        <v>14</v>
      </c>
      <c r="B49" s="5">
        <f>SUM(B50:B56)</f>
        <v>625</v>
      </c>
      <c r="C49" s="5">
        <f>SUM(C50:C56)</f>
        <v>50407</v>
      </c>
      <c r="D49" s="5">
        <f>SUM(D50:D56)</f>
        <v>867</v>
      </c>
      <c r="E49" s="5">
        <f>SUM(E50:E56)</f>
        <v>160920</v>
      </c>
      <c r="F49" s="5">
        <f>SUM(F50:F56)</f>
        <v>1313</v>
      </c>
      <c r="G49" s="5">
        <f t="shared" ref="G49:I49" si="7">SUM(G50:G56)</f>
        <v>65611</v>
      </c>
      <c r="H49" s="5">
        <f t="shared" si="7"/>
        <v>2340</v>
      </c>
      <c r="I49" s="15">
        <f t="shared" si="7"/>
        <v>110392</v>
      </c>
      <c r="J49" s="27"/>
      <c r="K49" s="27"/>
      <c r="L49" s="27"/>
      <c r="M49" s="27"/>
    </row>
    <row r="50" spans="1:13" x14ac:dyDescent="0.25">
      <c r="A50" s="8" t="s">
        <v>47</v>
      </c>
      <c r="B50" s="32"/>
      <c r="C50" s="32"/>
      <c r="D50" s="32"/>
      <c r="E50" s="32"/>
      <c r="F50" s="32"/>
      <c r="G50" s="32"/>
      <c r="H50" s="32"/>
      <c r="I50" s="33"/>
      <c r="J50" s="28"/>
      <c r="K50" s="28"/>
      <c r="L50" s="28"/>
      <c r="M50" s="28"/>
    </row>
    <row r="51" spans="1:13" x14ac:dyDescent="0.25">
      <c r="A51" s="9" t="s">
        <v>48</v>
      </c>
      <c r="B51" s="32"/>
      <c r="C51" s="32"/>
      <c r="D51" s="32"/>
      <c r="E51" s="32"/>
      <c r="F51" s="32"/>
      <c r="G51" s="32"/>
      <c r="H51" s="32"/>
      <c r="I51" s="33"/>
      <c r="J51" s="28"/>
      <c r="K51" s="28"/>
      <c r="L51" s="28"/>
      <c r="M51" s="28"/>
    </row>
    <row r="52" spans="1:13" x14ac:dyDescent="0.25">
      <c r="A52" s="11" t="s">
        <v>17</v>
      </c>
      <c r="B52" s="32"/>
      <c r="C52" s="32"/>
      <c r="D52" s="32"/>
      <c r="E52" s="32"/>
      <c r="F52" s="32"/>
      <c r="G52" s="32"/>
      <c r="H52" s="32"/>
      <c r="I52" s="33"/>
      <c r="J52" s="28"/>
      <c r="K52" s="28"/>
      <c r="L52" s="28"/>
      <c r="M52" s="28"/>
    </row>
    <row r="53" spans="1:13" x14ac:dyDescent="0.25">
      <c r="A53" s="9" t="s">
        <v>49</v>
      </c>
      <c r="B53" s="7">
        <v>65</v>
      </c>
      <c r="C53" s="7">
        <v>27420</v>
      </c>
      <c r="D53" s="17">
        <v>82</v>
      </c>
      <c r="E53" s="17">
        <v>35142</v>
      </c>
      <c r="F53" s="7">
        <v>94</v>
      </c>
      <c r="G53" s="7">
        <v>39470</v>
      </c>
      <c r="H53" s="7">
        <v>97</v>
      </c>
      <c r="I53" s="16">
        <v>39570</v>
      </c>
      <c r="J53" s="28"/>
      <c r="K53" s="28"/>
      <c r="L53" s="28"/>
      <c r="M53" s="28"/>
    </row>
    <row r="54" spans="1:13" x14ac:dyDescent="0.25">
      <c r="A54" s="9" t="s">
        <v>50</v>
      </c>
      <c r="B54" s="7">
        <v>110</v>
      </c>
      <c r="C54" s="7">
        <v>5545</v>
      </c>
      <c r="D54" s="7">
        <v>266</v>
      </c>
      <c r="E54" s="7">
        <v>5740</v>
      </c>
      <c r="F54" s="7">
        <v>96</v>
      </c>
      <c r="G54" s="7">
        <v>11759</v>
      </c>
      <c r="H54" s="7">
        <v>35</v>
      </c>
      <c r="I54" s="16">
        <v>16370</v>
      </c>
      <c r="J54" s="28"/>
      <c r="K54" s="28"/>
      <c r="L54" s="28"/>
      <c r="M54" s="28"/>
    </row>
    <row r="55" spans="1:13" x14ac:dyDescent="0.25">
      <c r="A55" s="9" t="s">
        <v>51</v>
      </c>
      <c r="B55" s="7">
        <v>444</v>
      </c>
      <c r="C55" s="7">
        <v>11993</v>
      </c>
      <c r="D55" s="7">
        <v>506</v>
      </c>
      <c r="E55" s="7">
        <v>114400</v>
      </c>
      <c r="F55" s="7">
        <v>567</v>
      </c>
      <c r="G55" s="7">
        <v>10524</v>
      </c>
      <c r="H55" s="7">
        <v>2207</v>
      </c>
      <c r="I55" s="16">
        <v>37417</v>
      </c>
      <c r="J55" s="28"/>
      <c r="K55" s="29"/>
      <c r="L55" s="28"/>
      <c r="M55" s="28"/>
    </row>
    <row r="56" spans="1:13" x14ac:dyDescent="0.25">
      <c r="A56" s="9" t="s">
        <v>52</v>
      </c>
      <c r="B56" s="7">
        <v>6</v>
      </c>
      <c r="C56" s="7">
        <v>5449</v>
      </c>
      <c r="D56" s="7">
        <v>13</v>
      </c>
      <c r="E56" s="7">
        <v>5638</v>
      </c>
      <c r="F56" s="7">
        <v>556</v>
      </c>
      <c r="G56" s="7">
        <v>3858</v>
      </c>
      <c r="H56" s="7">
        <v>1</v>
      </c>
      <c r="I56" s="16">
        <v>17035</v>
      </c>
      <c r="J56" s="28"/>
      <c r="K56" s="28"/>
      <c r="L56" s="28"/>
      <c r="M56" s="28"/>
    </row>
    <row r="57" spans="1:13" x14ac:dyDescent="0.25">
      <c r="A57" s="4" t="s">
        <v>22</v>
      </c>
      <c r="B57" s="5">
        <f>SUM(B58:B61)</f>
        <v>332</v>
      </c>
      <c r="C57" s="5">
        <f t="shared" ref="C57:I57" si="8">SUM(C58:C61)</f>
        <v>26216</v>
      </c>
      <c r="D57" s="5">
        <f t="shared" si="8"/>
        <v>500</v>
      </c>
      <c r="E57" s="5">
        <f t="shared" si="8"/>
        <v>28153</v>
      </c>
      <c r="F57" s="5">
        <f t="shared" si="8"/>
        <v>138</v>
      </c>
      <c r="G57" s="5">
        <f t="shared" si="8"/>
        <v>16773</v>
      </c>
      <c r="H57" s="5">
        <f t="shared" si="8"/>
        <v>158</v>
      </c>
      <c r="I57" s="15">
        <f t="shared" si="8"/>
        <v>16261</v>
      </c>
      <c r="J57" s="27"/>
      <c r="K57" s="27"/>
      <c r="L57" s="27"/>
      <c r="M57" s="27"/>
    </row>
    <row r="58" spans="1:13" x14ac:dyDescent="0.25">
      <c r="A58" s="9" t="s">
        <v>53</v>
      </c>
      <c r="B58" s="7">
        <v>48</v>
      </c>
      <c r="C58" s="7">
        <f>1690+760</f>
        <v>2450</v>
      </c>
      <c r="D58" s="7">
        <v>96</v>
      </c>
      <c r="E58" s="7">
        <f>1970+1090</f>
        <v>3060</v>
      </c>
      <c r="F58" s="7">
        <v>7</v>
      </c>
      <c r="G58" s="7">
        <f>1980+300+90</f>
        <v>2370</v>
      </c>
      <c r="H58" s="7">
        <v>5</v>
      </c>
      <c r="I58" s="16">
        <f>1280+100+300</f>
        <v>1680</v>
      </c>
      <c r="J58" s="28"/>
      <c r="K58" s="28"/>
      <c r="L58" s="28"/>
      <c r="M58" s="28"/>
    </row>
    <row r="59" spans="1:13" x14ac:dyDescent="0.25">
      <c r="A59" s="9" t="s">
        <v>54</v>
      </c>
      <c r="B59" s="7">
        <v>215</v>
      </c>
      <c r="C59" s="7">
        <v>7800</v>
      </c>
      <c r="D59" s="7">
        <v>338</v>
      </c>
      <c r="E59" s="7">
        <v>8200</v>
      </c>
      <c r="F59" s="7">
        <v>131</v>
      </c>
      <c r="G59" s="7">
        <v>7800</v>
      </c>
      <c r="H59" s="7">
        <v>153</v>
      </c>
      <c r="I59" s="16">
        <v>6870</v>
      </c>
      <c r="J59" s="28"/>
      <c r="K59" s="28"/>
      <c r="L59" s="28"/>
      <c r="M59" s="28"/>
    </row>
    <row r="60" spans="1:13" x14ac:dyDescent="0.25">
      <c r="A60" s="9" t="s">
        <v>55</v>
      </c>
      <c r="B60" s="7">
        <v>65</v>
      </c>
      <c r="C60" s="7">
        <v>11500</v>
      </c>
      <c r="D60" s="7">
        <v>60</v>
      </c>
      <c r="E60" s="7">
        <v>10450</v>
      </c>
      <c r="F60" s="7"/>
      <c r="G60" s="7"/>
      <c r="H60" s="7"/>
      <c r="I60" s="16"/>
      <c r="J60" s="28"/>
      <c r="K60" s="28"/>
      <c r="L60" s="28"/>
      <c r="M60" s="28"/>
    </row>
    <row r="61" spans="1:13" x14ac:dyDescent="0.25">
      <c r="A61" s="9" t="s">
        <v>56</v>
      </c>
      <c r="B61" s="7">
        <v>4</v>
      </c>
      <c r="C61" s="7">
        <f>3520+653+254+39</f>
        <v>4466</v>
      </c>
      <c r="D61" s="7">
        <v>6</v>
      </c>
      <c r="E61" s="7">
        <f>2139+3951+317+36</f>
        <v>6443</v>
      </c>
      <c r="F61" s="7">
        <v>0</v>
      </c>
      <c r="G61" s="7">
        <f>2273+4112+198+20</f>
        <v>6603</v>
      </c>
      <c r="H61" s="7">
        <v>0</v>
      </c>
      <c r="I61" s="16">
        <f>2717+4587+379+28</f>
        <v>7711</v>
      </c>
      <c r="J61" s="28"/>
      <c r="K61" s="28"/>
      <c r="L61" s="28"/>
      <c r="M61" s="28"/>
    </row>
    <row r="62" spans="1:13" x14ac:dyDescent="0.25">
      <c r="A62" s="4" t="s">
        <v>30</v>
      </c>
      <c r="B62" s="5">
        <f>SUM(B63:B76)</f>
        <v>465</v>
      </c>
      <c r="C62" s="5">
        <f t="shared" ref="C62:I62" si="9">SUM(C63:C76)</f>
        <v>18302</v>
      </c>
      <c r="D62" s="5">
        <f t="shared" si="9"/>
        <v>520</v>
      </c>
      <c r="E62" s="5">
        <f t="shared" si="9"/>
        <v>18180</v>
      </c>
      <c r="F62" s="5">
        <f t="shared" si="9"/>
        <v>279</v>
      </c>
      <c r="G62" s="5">
        <f t="shared" si="9"/>
        <v>9069</v>
      </c>
      <c r="H62" s="5">
        <f t="shared" si="9"/>
        <v>2788</v>
      </c>
      <c r="I62" s="15">
        <f t="shared" si="9"/>
        <v>182827</v>
      </c>
      <c r="J62" s="27"/>
      <c r="K62" s="27"/>
      <c r="L62" s="27"/>
      <c r="M62" s="27"/>
    </row>
    <row r="63" spans="1:13" x14ac:dyDescent="0.25">
      <c r="A63" s="9" t="s">
        <v>57</v>
      </c>
      <c r="B63" s="7">
        <v>79</v>
      </c>
      <c r="C63" s="7">
        <f>1669+6110+4500</f>
        <v>12279</v>
      </c>
      <c r="D63" s="7">
        <v>160</v>
      </c>
      <c r="E63" s="7">
        <f>1856+6274+4000</f>
        <v>12130</v>
      </c>
      <c r="F63" s="7">
        <v>67</v>
      </c>
      <c r="G63" s="7">
        <f>1264+3754+1500</f>
        <v>6518</v>
      </c>
      <c r="H63" s="7">
        <f>10+17+278</f>
        <v>305</v>
      </c>
      <c r="I63" s="16">
        <f>4822+26200+10689</f>
        <v>41711</v>
      </c>
      <c r="J63" s="28"/>
      <c r="K63" s="28"/>
      <c r="L63" s="28"/>
      <c r="M63" s="28"/>
    </row>
    <row r="64" spans="1:13" x14ac:dyDescent="0.25">
      <c r="A64" s="9" t="s">
        <v>58</v>
      </c>
      <c r="B64" s="7">
        <f>2+4+10+37</f>
        <v>53</v>
      </c>
      <c r="C64" s="7">
        <f>20+43</f>
        <v>63</v>
      </c>
      <c r="D64" s="7">
        <v>0</v>
      </c>
      <c r="E64" s="7">
        <f>12+6+46</f>
        <v>64</v>
      </c>
      <c r="F64" s="18">
        <v>6</v>
      </c>
      <c r="G64" s="7">
        <f>20+30</f>
        <v>50</v>
      </c>
      <c r="H64" s="7">
        <v>64</v>
      </c>
      <c r="I64" s="16">
        <f>30+40+4</f>
        <v>74</v>
      </c>
      <c r="J64" s="28"/>
      <c r="K64" s="28"/>
      <c r="L64" s="28"/>
      <c r="M64" s="28"/>
    </row>
    <row r="65" spans="1:13" x14ac:dyDescent="0.25">
      <c r="A65" s="9" t="s">
        <v>59</v>
      </c>
      <c r="B65" s="7">
        <f>57+103</f>
        <v>160</v>
      </c>
      <c r="C65" s="7">
        <f>327+260+513</f>
        <v>1100</v>
      </c>
      <c r="D65" s="7">
        <v>197</v>
      </c>
      <c r="E65" s="7">
        <f>416+220+576</f>
        <v>1212</v>
      </c>
      <c r="F65" s="7">
        <v>181</v>
      </c>
      <c r="G65" s="7">
        <f>82+90+122</f>
        <v>294</v>
      </c>
      <c r="H65" s="7">
        <f>14+621</f>
        <v>635</v>
      </c>
      <c r="I65" s="16">
        <f>105+290+513</f>
        <v>908</v>
      </c>
      <c r="J65" s="28"/>
      <c r="K65" s="28"/>
      <c r="L65" s="28"/>
      <c r="M65" s="28"/>
    </row>
    <row r="66" spans="1:13" x14ac:dyDescent="0.25">
      <c r="A66" s="9" t="s">
        <v>60</v>
      </c>
      <c r="B66" s="7">
        <f>25+6+10+49</f>
        <v>90</v>
      </c>
      <c r="C66" s="7">
        <f>321+410+113</f>
        <v>844</v>
      </c>
      <c r="D66" s="7">
        <f>118+4+5+6</f>
        <v>133</v>
      </c>
      <c r="E66" s="7">
        <f>285+400+124</f>
        <v>809</v>
      </c>
      <c r="F66" s="7">
        <v>25</v>
      </c>
      <c r="G66" s="7">
        <f>58+37+23</f>
        <v>118</v>
      </c>
      <c r="H66" s="7">
        <f>176+10+14</f>
        <v>200</v>
      </c>
      <c r="I66" s="16">
        <f>145+300+152</f>
        <v>597</v>
      </c>
      <c r="J66" s="28"/>
      <c r="K66" s="28"/>
      <c r="L66" s="28"/>
      <c r="M66" s="28"/>
    </row>
    <row r="67" spans="1:13" x14ac:dyDescent="0.25">
      <c r="A67" s="9" t="s">
        <v>61</v>
      </c>
      <c r="B67" s="7">
        <v>0</v>
      </c>
      <c r="C67" s="7">
        <f>212+900+808</f>
        <v>1920</v>
      </c>
      <c r="D67" s="7">
        <v>0</v>
      </c>
      <c r="E67" s="7">
        <f>461+1015+700</f>
        <v>2176</v>
      </c>
      <c r="F67" s="7">
        <v>0</v>
      </c>
      <c r="G67" s="7">
        <f>183+500+245</f>
        <v>928</v>
      </c>
      <c r="H67" s="7">
        <v>0</v>
      </c>
      <c r="I67" s="16">
        <f>16920+15000+29150</f>
        <v>61070</v>
      </c>
      <c r="J67" s="28"/>
      <c r="K67" s="28"/>
      <c r="L67" s="28"/>
      <c r="M67" s="28"/>
    </row>
    <row r="68" spans="1:13" x14ac:dyDescent="0.25">
      <c r="A68" s="9" t="s">
        <v>62</v>
      </c>
      <c r="B68" s="7">
        <v>0</v>
      </c>
      <c r="C68" s="7">
        <f>80+300+277</f>
        <v>657</v>
      </c>
      <c r="D68" s="7">
        <v>0</v>
      </c>
      <c r="E68" s="7">
        <f>113+500+47</f>
        <v>660</v>
      </c>
      <c r="F68" s="7">
        <v>0</v>
      </c>
      <c r="G68" s="7">
        <f>200+200+148</f>
        <v>548</v>
      </c>
      <c r="H68" s="7">
        <v>1500</v>
      </c>
      <c r="I68" s="16">
        <f>7500+68000+900</f>
        <v>76400</v>
      </c>
      <c r="J68" s="28"/>
      <c r="K68" s="28"/>
      <c r="L68" s="28"/>
      <c r="M68" s="28"/>
    </row>
    <row r="69" spans="1:13" x14ac:dyDescent="0.25">
      <c r="A69" s="9" t="s">
        <v>63</v>
      </c>
      <c r="B69" s="10">
        <v>0</v>
      </c>
      <c r="C69" s="10">
        <f>29+38+15</f>
        <v>82</v>
      </c>
      <c r="D69" s="10">
        <v>0</v>
      </c>
      <c r="E69" s="10">
        <f>4+3+1</f>
        <v>8</v>
      </c>
      <c r="F69" s="10">
        <v>0</v>
      </c>
      <c r="G69" s="10">
        <v>0</v>
      </c>
      <c r="H69" s="10">
        <v>0</v>
      </c>
      <c r="I69" s="19">
        <f>7+4+3</f>
        <v>14</v>
      </c>
      <c r="J69" s="30"/>
      <c r="K69" s="30"/>
      <c r="L69" s="30"/>
      <c r="M69" s="30"/>
    </row>
    <row r="70" spans="1:13" x14ac:dyDescent="0.25">
      <c r="A70" s="9" t="s">
        <v>64</v>
      </c>
      <c r="B70" s="10">
        <f>37+1</f>
        <v>38</v>
      </c>
      <c r="C70" s="10">
        <f>103+34</f>
        <v>137</v>
      </c>
      <c r="D70" s="10">
        <v>25</v>
      </c>
      <c r="E70" s="10">
        <f>20+37</f>
        <v>57</v>
      </c>
      <c r="F70" s="10">
        <v>0</v>
      </c>
      <c r="G70" s="10">
        <f>31+21</f>
        <v>52</v>
      </c>
      <c r="H70" s="10">
        <v>7</v>
      </c>
      <c r="I70" s="19">
        <f>145+50</f>
        <v>195</v>
      </c>
      <c r="J70" s="30"/>
      <c r="K70" s="30"/>
      <c r="L70" s="30"/>
      <c r="M70" s="30"/>
    </row>
    <row r="71" spans="1:13" x14ac:dyDescent="0.25">
      <c r="A71" s="9" t="s">
        <v>65</v>
      </c>
      <c r="B71" s="10">
        <v>1</v>
      </c>
      <c r="C71" s="10">
        <f>31+81</f>
        <v>112</v>
      </c>
      <c r="D71" s="10">
        <v>1</v>
      </c>
      <c r="E71" s="10">
        <f>125+37</f>
        <v>162</v>
      </c>
      <c r="F71" s="10">
        <v>0</v>
      </c>
      <c r="G71" s="10">
        <f>54+30</f>
        <v>84</v>
      </c>
      <c r="H71" s="10">
        <v>0</v>
      </c>
      <c r="I71" s="19">
        <f>88+125</f>
        <v>213</v>
      </c>
      <c r="J71" s="30"/>
      <c r="K71" s="30"/>
      <c r="L71" s="30"/>
      <c r="M71" s="30"/>
    </row>
    <row r="72" spans="1:13" x14ac:dyDescent="0.25">
      <c r="A72" s="9" t="s">
        <v>66</v>
      </c>
      <c r="B72" s="10">
        <v>15</v>
      </c>
      <c r="C72" s="10">
        <f>22+68</f>
        <v>90</v>
      </c>
      <c r="D72" s="10">
        <v>0</v>
      </c>
      <c r="E72" s="10">
        <f>78+56</f>
        <v>134</v>
      </c>
      <c r="F72" s="10">
        <v>0</v>
      </c>
      <c r="G72" s="10">
        <f>40+44</f>
        <v>84</v>
      </c>
      <c r="H72" s="10">
        <v>26</v>
      </c>
      <c r="I72" s="19">
        <f>44+53</f>
        <v>97</v>
      </c>
      <c r="J72" s="30"/>
      <c r="K72" s="30"/>
      <c r="L72" s="30"/>
      <c r="M72" s="30"/>
    </row>
    <row r="73" spans="1:13" x14ac:dyDescent="0.25">
      <c r="A73" s="9" t="s">
        <v>67</v>
      </c>
      <c r="B73" s="10">
        <v>28</v>
      </c>
      <c r="C73" s="10">
        <f>26+80+33</f>
        <v>139</v>
      </c>
      <c r="D73" s="10">
        <v>4</v>
      </c>
      <c r="E73" s="10">
        <f>35+100+49</f>
        <v>184</v>
      </c>
      <c r="F73" s="10">
        <v>0</v>
      </c>
      <c r="G73" s="10">
        <f>31+40+24</f>
        <v>95</v>
      </c>
      <c r="H73" s="10">
        <v>43</v>
      </c>
      <c r="I73" s="19">
        <f>60+150+70</f>
        <v>280</v>
      </c>
      <c r="J73" s="30"/>
      <c r="K73" s="30"/>
      <c r="L73" s="30"/>
      <c r="M73" s="30"/>
    </row>
    <row r="74" spans="1:13" x14ac:dyDescent="0.25">
      <c r="A74" s="9" t="s">
        <v>68</v>
      </c>
      <c r="B74" s="7">
        <v>0</v>
      </c>
      <c r="C74" s="7">
        <f>21+22</f>
        <v>43</v>
      </c>
      <c r="D74" s="7">
        <v>0</v>
      </c>
      <c r="E74" s="7">
        <f>33+19</f>
        <v>52</v>
      </c>
      <c r="F74" s="7">
        <v>0</v>
      </c>
      <c r="G74" s="7">
        <f>9+15</f>
        <v>24</v>
      </c>
      <c r="H74" s="7">
        <v>0</v>
      </c>
      <c r="I74" s="16">
        <f>42+43</f>
        <v>85</v>
      </c>
      <c r="J74" s="28"/>
      <c r="K74" s="28"/>
      <c r="L74" s="28"/>
      <c r="M74" s="28"/>
    </row>
    <row r="75" spans="1:13" x14ac:dyDescent="0.25">
      <c r="A75" s="9" t="s">
        <v>69</v>
      </c>
      <c r="B75" s="7">
        <v>1</v>
      </c>
      <c r="C75" s="7">
        <f>282+390+164</f>
        <v>836</v>
      </c>
      <c r="D75" s="7">
        <v>0</v>
      </c>
      <c r="E75" s="7">
        <f>232+195+105</f>
        <v>532</v>
      </c>
      <c r="F75" s="7">
        <v>0</v>
      </c>
      <c r="G75" s="7">
        <f>80+174+20</f>
        <v>274</v>
      </c>
      <c r="H75" s="7">
        <v>8</v>
      </c>
      <c r="I75" s="16">
        <f>321+662+200</f>
        <v>1183</v>
      </c>
      <c r="J75" s="28"/>
      <c r="K75" s="28"/>
      <c r="L75" s="28"/>
      <c r="M75" s="28"/>
    </row>
    <row r="76" spans="1:13" x14ac:dyDescent="0.25">
      <c r="A76" s="9" t="s">
        <v>70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16">
        <v>0</v>
      </c>
      <c r="J76" s="28"/>
      <c r="K76" s="28"/>
      <c r="L76" s="28"/>
      <c r="M76" s="28"/>
    </row>
    <row r="77" spans="1:13" x14ac:dyDescent="0.25">
      <c r="A77" s="4" t="s">
        <v>41</v>
      </c>
      <c r="B77" s="5">
        <f>SUM(B78:B79)</f>
        <v>8</v>
      </c>
      <c r="C77" s="5">
        <f t="shared" ref="C77:I77" si="10">SUM(C78:C79)</f>
        <v>3546</v>
      </c>
      <c r="D77" s="5">
        <f t="shared" si="10"/>
        <v>5</v>
      </c>
      <c r="E77" s="5">
        <f t="shared" si="10"/>
        <v>1198</v>
      </c>
      <c r="F77" s="5">
        <f t="shared" si="10"/>
        <v>0</v>
      </c>
      <c r="G77" s="5">
        <f t="shared" si="10"/>
        <v>1303</v>
      </c>
      <c r="H77" s="5">
        <f t="shared" si="10"/>
        <v>10</v>
      </c>
      <c r="I77" s="15">
        <f t="shared" si="10"/>
        <v>2352</v>
      </c>
      <c r="J77" s="27"/>
      <c r="K77" s="27"/>
      <c r="L77" s="27"/>
      <c r="M77" s="27"/>
    </row>
    <row r="78" spans="1:13" x14ac:dyDescent="0.25">
      <c r="A78" s="8" t="s">
        <v>71</v>
      </c>
      <c r="B78" s="7">
        <v>8</v>
      </c>
      <c r="C78" s="7">
        <v>46</v>
      </c>
      <c r="D78" s="7">
        <v>5</v>
      </c>
      <c r="E78" s="7">
        <v>38</v>
      </c>
      <c r="F78" s="7">
        <v>0</v>
      </c>
      <c r="G78" s="7">
        <v>28</v>
      </c>
      <c r="H78" s="7">
        <v>10</v>
      </c>
      <c r="I78" s="16">
        <v>42</v>
      </c>
      <c r="J78" s="28"/>
      <c r="K78" s="28"/>
      <c r="L78" s="28"/>
      <c r="M78" s="28"/>
    </row>
    <row r="79" spans="1:13" ht="15.75" thickBot="1" x14ac:dyDescent="0.3">
      <c r="A79" s="20" t="s">
        <v>72</v>
      </c>
      <c r="B79" s="21">
        <v>0</v>
      </c>
      <c r="C79" s="21">
        <v>3500</v>
      </c>
      <c r="D79" s="21">
        <v>0</v>
      </c>
      <c r="E79" s="21">
        <v>1160</v>
      </c>
      <c r="F79" s="21">
        <v>0</v>
      </c>
      <c r="G79" s="21">
        <v>1275</v>
      </c>
      <c r="H79" s="21">
        <v>0</v>
      </c>
      <c r="I79" s="22">
        <v>2310</v>
      </c>
      <c r="J79" s="28"/>
      <c r="K79" s="28"/>
      <c r="L79" s="28"/>
      <c r="M79" s="28"/>
    </row>
    <row r="80" spans="1:13" x14ac:dyDescent="0.25">
      <c r="A80" s="23" t="s">
        <v>73</v>
      </c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</row>
  </sheetData>
  <mergeCells count="12">
    <mergeCell ref="A46:A47"/>
    <mergeCell ref="B46:C46"/>
    <mergeCell ref="D46:E46"/>
    <mergeCell ref="F46:G46"/>
    <mergeCell ref="H46:I46"/>
    <mergeCell ref="A1:I2"/>
    <mergeCell ref="A44:I45"/>
    <mergeCell ref="A3:A4"/>
    <mergeCell ref="B3:C3"/>
    <mergeCell ref="D3:E3"/>
    <mergeCell ref="F3:G3"/>
    <mergeCell ref="H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workbookViewId="0">
      <selection activeCell="H70" sqref="H70"/>
    </sheetView>
  </sheetViews>
  <sheetFormatPr defaultRowHeight="15" x14ac:dyDescent="0.25"/>
  <cols>
    <col min="1" max="1" width="25.85546875" customWidth="1"/>
  </cols>
  <sheetData>
    <row r="1" spans="1:7" ht="25.5" customHeight="1" thickBot="1" x14ac:dyDescent="0.3">
      <c r="A1" s="197" t="s">
        <v>74</v>
      </c>
      <c r="B1" s="198"/>
      <c r="C1" s="198"/>
      <c r="D1" s="198"/>
      <c r="E1" s="198"/>
      <c r="F1" s="198"/>
      <c r="G1" s="199"/>
    </row>
    <row r="2" spans="1:7" ht="27" customHeight="1" x14ac:dyDescent="0.25">
      <c r="A2" s="200" t="s">
        <v>75</v>
      </c>
      <c r="B2" s="202" t="s">
        <v>76</v>
      </c>
      <c r="C2" s="204" t="s">
        <v>77</v>
      </c>
      <c r="D2" s="204"/>
      <c r="E2" s="204" t="s">
        <v>78</v>
      </c>
      <c r="F2" s="204"/>
      <c r="G2" s="205" t="s">
        <v>79</v>
      </c>
    </row>
    <row r="3" spans="1:7" ht="28.5" customHeight="1" thickBot="1" x14ac:dyDescent="0.3">
      <c r="A3" s="201"/>
      <c r="B3" s="203"/>
      <c r="C3" s="84" t="s">
        <v>80</v>
      </c>
      <c r="D3" s="84" t="s">
        <v>81</v>
      </c>
      <c r="E3" s="84" t="s">
        <v>82</v>
      </c>
      <c r="F3" s="84" t="s">
        <v>83</v>
      </c>
      <c r="G3" s="206"/>
    </row>
    <row r="4" spans="1:7" x14ac:dyDescent="0.25">
      <c r="A4" s="83">
        <v>2025</v>
      </c>
      <c r="B4" s="185" t="s">
        <v>84</v>
      </c>
      <c r="C4" s="186"/>
      <c r="D4" s="186"/>
      <c r="E4" s="186"/>
      <c r="F4" s="186"/>
      <c r="G4" s="187"/>
    </row>
    <row r="5" spans="1:7" x14ac:dyDescent="0.25">
      <c r="A5" s="35" t="s">
        <v>2</v>
      </c>
      <c r="B5" s="36">
        <f>SUM(C5+D5)</f>
        <v>30</v>
      </c>
      <c r="C5" s="36">
        <v>15</v>
      </c>
      <c r="D5" s="36">
        <v>15</v>
      </c>
      <c r="E5" s="36">
        <v>15</v>
      </c>
      <c r="F5" s="36">
        <v>11</v>
      </c>
      <c r="G5" s="37">
        <v>30</v>
      </c>
    </row>
    <row r="6" spans="1:7" x14ac:dyDescent="0.25">
      <c r="A6" s="35" t="s">
        <v>85</v>
      </c>
      <c r="B6" s="36">
        <f t="shared" ref="B6:B69" si="0">SUM(C6+D6)</f>
        <v>20</v>
      </c>
      <c r="C6" s="38">
        <v>12</v>
      </c>
      <c r="D6" s="38">
        <v>8</v>
      </c>
      <c r="E6" s="38">
        <v>9</v>
      </c>
      <c r="F6" s="38">
        <v>7</v>
      </c>
      <c r="G6" s="39">
        <v>20</v>
      </c>
    </row>
    <row r="7" spans="1:7" x14ac:dyDescent="0.25">
      <c r="A7" s="35" t="s">
        <v>86</v>
      </c>
      <c r="B7" s="36">
        <f t="shared" si="0"/>
        <v>33</v>
      </c>
      <c r="C7" s="36">
        <v>21</v>
      </c>
      <c r="D7" s="36">
        <v>12</v>
      </c>
      <c r="E7" s="36">
        <v>28</v>
      </c>
      <c r="F7" s="36">
        <v>15</v>
      </c>
      <c r="G7" s="37">
        <v>33</v>
      </c>
    </row>
    <row r="8" spans="1:7" x14ac:dyDescent="0.25">
      <c r="A8" s="34" t="s">
        <v>5</v>
      </c>
      <c r="B8" s="36">
        <f t="shared" si="0"/>
        <v>20</v>
      </c>
      <c r="C8" s="36">
        <v>15</v>
      </c>
      <c r="D8" s="36">
        <v>5</v>
      </c>
      <c r="E8" s="36">
        <v>15</v>
      </c>
      <c r="F8" s="36">
        <v>15</v>
      </c>
      <c r="G8" s="37">
        <v>20</v>
      </c>
    </row>
    <row r="9" spans="1:7" x14ac:dyDescent="0.25">
      <c r="A9" s="34" t="s">
        <v>87</v>
      </c>
      <c r="B9" s="36">
        <f t="shared" si="0"/>
        <v>19</v>
      </c>
      <c r="C9" s="36">
        <v>13</v>
      </c>
      <c r="D9" s="36">
        <v>6</v>
      </c>
      <c r="E9" s="36">
        <v>12</v>
      </c>
      <c r="F9" s="36">
        <v>9</v>
      </c>
      <c r="G9" s="37">
        <v>19</v>
      </c>
    </row>
    <row r="10" spans="1:7" x14ac:dyDescent="0.25">
      <c r="A10" s="34" t="s">
        <v>88</v>
      </c>
      <c r="B10" s="36">
        <f t="shared" si="0"/>
        <v>20</v>
      </c>
      <c r="C10" s="36">
        <v>10</v>
      </c>
      <c r="D10" s="36">
        <v>10</v>
      </c>
      <c r="E10" s="36">
        <v>11</v>
      </c>
      <c r="F10" s="36">
        <v>16</v>
      </c>
      <c r="G10" s="37">
        <v>20</v>
      </c>
    </row>
    <row r="11" spans="1:7" x14ac:dyDescent="0.25">
      <c r="A11" s="35" t="s">
        <v>89</v>
      </c>
      <c r="B11" s="36">
        <f t="shared" si="0"/>
        <v>0</v>
      </c>
      <c r="C11" s="40"/>
      <c r="D11" s="40"/>
      <c r="E11" s="40"/>
      <c r="F11" s="40"/>
      <c r="G11" s="41"/>
    </row>
    <row r="12" spans="1:7" x14ac:dyDescent="0.25">
      <c r="A12" s="35" t="s">
        <v>90</v>
      </c>
      <c r="B12" s="36">
        <f t="shared" si="0"/>
        <v>0</v>
      </c>
      <c r="C12" s="40"/>
      <c r="D12" s="40"/>
      <c r="E12" s="40"/>
      <c r="F12" s="40"/>
      <c r="G12" s="41"/>
    </row>
    <row r="13" spans="1:7" x14ac:dyDescent="0.25">
      <c r="A13" s="35" t="s">
        <v>91</v>
      </c>
      <c r="B13" s="36">
        <f t="shared" si="0"/>
        <v>0</v>
      </c>
      <c r="C13" s="40"/>
      <c r="D13" s="40"/>
      <c r="E13" s="40"/>
      <c r="F13" s="40"/>
      <c r="G13" s="41"/>
    </row>
    <row r="14" spans="1:7" x14ac:dyDescent="0.25">
      <c r="A14" s="35" t="s">
        <v>92</v>
      </c>
      <c r="B14" s="36">
        <f t="shared" si="0"/>
        <v>0</v>
      </c>
      <c r="C14" s="40"/>
      <c r="D14" s="40"/>
      <c r="E14" s="40"/>
      <c r="F14" s="40"/>
      <c r="G14" s="41"/>
    </row>
    <row r="15" spans="1:7" x14ac:dyDescent="0.25">
      <c r="A15" s="35" t="s">
        <v>93</v>
      </c>
      <c r="B15" s="36">
        <f t="shared" si="0"/>
        <v>0</v>
      </c>
      <c r="C15" s="40"/>
      <c r="D15" s="40"/>
      <c r="E15" s="40"/>
      <c r="F15" s="40"/>
      <c r="G15" s="41"/>
    </row>
    <row r="16" spans="1:7" x14ac:dyDescent="0.25">
      <c r="A16" s="35" t="s">
        <v>94</v>
      </c>
      <c r="B16" s="36">
        <f t="shared" si="0"/>
        <v>0</v>
      </c>
      <c r="C16" s="40"/>
      <c r="D16" s="40"/>
      <c r="E16" s="40"/>
      <c r="F16" s="40"/>
      <c r="G16" s="41"/>
    </row>
    <row r="17" spans="1:7" x14ac:dyDescent="0.25">
      <c r="A17" s="34" t="s">
        <v>95</v>
      </c>
      <c r="B17" s="36">
        <f t="shared" si="0"/>
        <v>142</v>
      </c>
      <c r="C17" s="36">
        <f t="shared" ref="C17:G17" si="1">SUM(C5:C16)</f>
        <v>86</v>
      </c>
      <c r="D17" s="36">
        <f t="shared" si="1"/>
        <v>56</v>
      </c>
      <c r="E17" s="36">
        <f t="shared" si="1"/>
        <v>90</v>
      </c>
      <c r="F17" s="36">
        <f t="shared" si="1"/>
        <v>73</v>
      </c>
      <c r="G17" s="37">
        <f t="shared" si="1"/>
        <v>142</v>
      </c>
    </row>
    <row r="18" spans="1:7" x14ac:dyDescent="0.25">
      <c r="A18" s="82">
        <v>2025</v>
      </c>
      <c r="B18" s="188" t="s">
        <v>96</v>
      </c>
      <c r="C18" s="189"/>
      <c r="D18" s="189"/>
      <c r="E18" s="189"/>
      <c r="F18" s="189"/>
      <c r="G18" s="190"/>
    </row>
    <row r="19" spans="1:7" x14ac:dyDescent="0.25">
      <c r="A19" s="35" t="s">
        <v>2</v>
      </c>
      <c r="B19" s="36">
        <f t="shared" si="0"/>
        <v>472</v>
      </c>
      <c r="C19" s="40">
        <v>362</v>
      </c>
      <c r="D19" s="40">
        <v>110</v>
      </c>
      <c r="E19" s="40">
        <v>406</v>
      </c>
      <c r="F19" s="40">
        <v>582</v>
      </c>
      <c r="G19" s="41">
        <v>812</v>
      </c>
    </row>
    <row r="20" spans="1:7" x14ac:dyDescent="0.25">
      <c r="A20" s="35" t="s">
        <v>85</v>
      </c>
      <c r="B20" s="36">
        <f t="shared" si="0"/>
        <v>428</v>
      </c>
      <c r="C20" s="40">
        <v>341</v>
      </c>
      <c r="D20" s="40">
        <v>87</v>
      </c>
      <c r="E20" s="40">
        <v>412</v>
      </c>
      <c r="F20" s="40">
        <v>578</v>
      </c>
      <c r="G20" s="41">
        <v>735</v>
      </c>
    </row>
    <row r="21" spans="1:7" x14ac:dyDescent="0.25">
      <c r="A21" s="35" t="s">
        <v>86</v>
      </c>
      <c r="B21" s="36">
        <f t="shared" si="0"/>
        <v>498</v>
      </c>
      <c r="C21" s="40">
        <v>375</v>
      </c>
      <c r="D21" s="40">
        <v>123</v>
      </c>
      <c r="E21" s="40">
        <v>421</v>
      </c>
      <c r="F21" s="40">
        <v>598</v>
      </c>
      <c r="G21" s="41">
        <v>861</v>
      </c>
    </row>
    <row r="22" spans="1:7" x14ac:dyDescent="0.25">
      <c r="A22" s="34" t="s">
        <v>5</v>
      </c>
      <c r="B22" s="36">
        <f t="shared" si="0"/>
        <v>508</v>
      </c>
      <c r="C22" s="40">
        <v>381</v>
      </c>
      <c r="D22" s="40">
        <v>127</v>
      </c>
      <c r="E22" s="40">
        <v>432</v>
      </c>
      <c r="F22" s="40">
        <v>700</v>
      </c>
      <c r="G22" s="41">
        <v>867</v>
      </c>
    </row>
    <row r="23" spans="1:7" x14ac:dyDescent="0.25">
      <c r="A23" s="34" t="s">
        <v>87</v>
      </c>
      <c r="B23" s="36">
        <f t="shared" si="0"/>
        <v>485</v>
      </c>
      <c r="C23" s="40">
        <v>384</v>
      </c>
      <c r="D23" s="40">
        <v>101</v>
      </c>
      <c r="E23" s="40">
        <v>458</v>
      </c>
      <c r="F23" s="40">
        <v>581</v>
      </c>
      <c r="G23" s="41">
        <v>777</v>
      </c>
    </row>
    <row r="24" spans="1:7" x14ac:dyDescent="0.25">
      <c r="A24" s="34" t="s">
        <v>88</v>
      </c>
      <c r="B24" s="36">
        <f>SUM(C24+D24)</f>
        <v>608</v>
      </c>
      <c r="C24" s="38">
        <v>444</v>
      </c>
      <c r="D24" s="38">
        <v>164</v>
      </c>
      <c r="E24" s="38">
        <v>515</v>
      </c>
      <c r="F24" s="38">
        <v>900</v>
      </c>
      <c r="G24" s="39">
        <v>974</v>
      </c>
    </row>
    <row r="25" spans="1:7" x14ac:dyDescent="0.25">
      <c r="A25" s="35" t="s">
        <v>89</v>
      </c>
      <c r="B25" s="36">
        <f t="shared" si="0"/>
        <v>0</v>
      </c>
      <c r="C25" s="36"/>
      <c r="D25" s="36"/>
      <c r="E25" s="36"/>
      <c r="F25" s="36"/>
      <c r="G25" s="37"/>
    </row>
    <row r="26" spans="1:7" x14ac:dyDescent="0.25">
      <c r="A26" s="35" t="s">
        <v>90</v>
      </c>
      <c r="B26" s="36">
        <f t="shared" si="0"/>
        <v>0</v>
      </c>
      <c r="C26" s="38"/>
      <c r="D26" s="38"/>
      <c r="E26" s="38"/>
      <c r="F26" s="38"/>
      <c r="G26" s="39"/>
    </row>
    <row r="27" spans="1:7" x14ac:dyDescent="0.25">
      <c r="A27" s="35" t="s">
        <v>91</v>
      </c>
      <c r="B27" s="36">
        <f t="shared" si="0"/>
        <v>0</v>
      </c>
      <c r="C27" s="38"/>
      <c r="D27" s="38"/>
      <c r="E27" s="38"/>
      <c r="F27" s="38"/>
      <c r="G27" s="39"/>
    </row>
    <row r="28" spans="1:7" x14ac:dyDescent="0.25">
      <c r="A28" s="35" t="s">
        <v>92</v>
      </c>
      <c r="B28" s="36">
        <f t="shared" si="0"/>
        <v>0</v>
      </c>
      <c r="C28" s="38"/>
      <c r="D28" s="38"/>
      <c r="E28" s="38"/>
      <c r="F28" s="38"/>
      <c r="G28" s="39"/>
    </row>
    <row r="29" spans="1:7" x14ac:dyDescent="0.25">
      <c r="A29" s="35" t="s">
        <v>93</v>
      </c>
      <c r="B29" s="36">
        <f t="shared" si="0"/>
        <v>0</v>
      </c>
      <c r="C29" s="38"/>
      <c r="D29" s="38"/>
      <c r="E29" s="38"/>
      <c r="F29" s="38"/>
      <c r="G29" s="39"/>
    </row>
    <row r="30" spans="1:7" x14ac:dyDescent="0.25">
      <c r="A30" s="35" t="s">
        <v>94</v>
      </c>
      <c r="B30" s="36">
        <f t="shared" si="0"/>
        <v>0</v>
      </c>
      <c r="C30" s="38"/>
      <c r="D30" s="38"/>
      <c r="E30" s="38"/>
      <c r="F30" s="38"/>
      <c r="G30" s="39"/>
    </row>
    <row r="31" spans="1:7" x14ac:dyDescent="0.25">
      <c r="A31" s="34" t="s">
        <v>95</v>
      </c>
      <c r="B31" s="36">
        <f t="shared" si="0"/>
        <v>2999</v>
      </c>
      <c r="C31" s="36">
        <f t="shared" ref="C31:G31" si="2">SUM(C19:C30)</f>
        <v>2287</v>
      </c>
      <c r="D31" s="36">
        <f t="shared" si="2"/>
        <v>712</v>
      </c>
      <c r="E31" s="36">
        <f t="shared" si="2"/>
        <v>2644</v>
      </c>
      <c r="F31" s="36">
        <f t="shared" si="2"/>
        <v>3939</v>
      </c>
      <c r="G31" s="37">
        <f t="shared" si="2"/>
        <v>5026</v>
      </c>
    </row>
    <row r="32" spans="1:7" x14ac:dyDescent="0.25">
      <c r="A32" s="82">
        <v>2025</v>
      </c>
      <c r="B32" s="188" t="s">
        <v>97</v>
      </c>
      <c r="C32" s="189"/>
      <c r="D32" s="189"/>
      <c r="E32" s="189"/>
      <c r="F32" s="189"/>
      <c r="G32" s="190"/>
    </row>
    <row r="33" spans="1:7" x14ac:dyDescent="0.25">
      <c r="A33" s="35" t="s">
        <v>2</v>
      </c>
      <c r="B33" s="36">
        <f t="shared" si="0"/>
        <v>121</v>
      </c>
      <c r="C33" s="36">
        <v>83</v>
      </c>
      <c r="D33" s="36">
        <v>38</v>
      </c>
      <c r="E33" s="36">
        <f>80+26</f>
        <v>106</v>
      </c>
      <c r="F33" s="36">
        <f>61+22</f>
        <v>83</v>
      </c>
      <c r="G33" s="37">
        <v>143</v>
      </c>
    </row>
    <row r="34" spans="1:7" x14ac:dyDescent="0.25">
      <c r="A34" s="35" t="s">
        <v>85</v>
      </c>
      <c r="B34" s="36">
        <f t="shared" si="0"/>
        <v>99</v>
      </c>
      <c r="C34" s="38">
        <v>63</v>
      </c>
      <c r="D34" s="38">
        <v>36</v>
      </c>
      <c r="E34" s="38">
        <f>72+9</f>
        <v>81</v>
      </c>
      <c r="F34" s="38">
        <f>105+27</f>
        <v>132</v>
      </c>
      <c r="G34" s="39">
        <v>119</v>
      </c>
    </row>
    <row r="35" spans="1:7" x14ac:dyDescent="0.25">
      <c r="A35" s="35" t="s">
        <v>86</v>
      </c>
      <c r="B35" s="36">
        <f t="shared" si="0"/>
        <v>121</v>
      </c>
      <c r="C35" s="38">
        <v>74</v>
      </c>
      <c r="D35" s="38">
        <v>47</v>
      </c>
      <c r="E35" s="38">
        <f>80+17</f>
        <v>97</v>
      </c>
      <c r="F35" s="38">
        <f>24+72</f>
        <v>96</v>
      </c>
      <c r="G35" s="39">
        <v>161</v>
      </c>
    </row>
    <row r="36" spans="1:7" x14ac:dyDescent="0.25">
      <c r="A36" s="34" t="s">
        <v>5</v>
      </c>
      <c r="B36" s="36">
        <f t="shared" si="0"/>
        <v>141</v>
      </c>
      <c r="C36" s="38">
        <v>57</v>
      </c>
      <c r="D36" s="38">
        <v>84</v>
      </c>
      <c r="E36" s="38">
        <f>69+6</f>
        <v>75</v>
      </c>
      <c r="F36" s="38">
        <f>104+17</f>
        <v>121</v>
      </c>
      <c r="G36" s="39">
        <v>151</v>
      </c>
    </row>
    <row r="37" spans="1:7" x14ac:dyDescent="0.25">
      <c r="A37" s="34" t="s">
        <v>87</v>
      </c>
      <c r="B37" s="36">
        <f t="shared" si="0"/>
        <v>119</v>
      </c>
      <c r="C37" s="38">
        <v>74</v>
      </c>
      <c r="D37" s="38">
        <v>45</v>
      </c>
      <c r="E37" s="38">
        <f>67+18</f>
        <v>85</v>
      </c>
      <c r="F37" s="38">
        <f>95+22</f>
        <v>117</v>
      </c>
      <c r="G37" s="39">
        <v>140</v>
      </c>
    </row>
    <row r="38" spans="1:7" x14ac:dyDescent="0.25">
      <c r="A38" s="34" t="s">
        <v>88</v>
      </c>
      <c r="B38" s="36">
        <f>SUM(C38+D38)</f>
        <v>81</v>
      </c>
      <c r="C38" s="38">
        <v>49</v>
      </c>
      <c r="D38" s="38">
        <v>32</v>
      </c>
      <c r="E38" s="38">
        <f>45+7</f>
        <v>52</v>
      </c>
      <c r="F38" s="38">
        <f>84+14</f>
        <v>98</v>
      </c>
      <c r="G38" s="39">
        <v>95</v>
      </c>
    </row>
    <row r="39" spans="1:7" x14ac:dyDescent="0.25">
      <c r="A39" s="35" t="s">
        <v>89</v>
      </c>
      <c r="B39" s="36">
        <f t="shared" si="0"/>
        <v>0</v>
      </c>
      <c r="C39" s="38"/>
      <c r="D39" s="38"/>
      <c r="E39" s="38"/>
      <c r="F39" s="38"/>
      <c r="G39" s="39"/>
    </row>
    <row r="40" spans="1:7" x14ac:dyDescent="0.25">
      <c r="A40" s="35" t="s">
        <v>90</v>
      </c>
      <c r="B40" s="36">
        <f t="shared" si="0"/>
        <v>0</v>
      </c>
      <c r="C40" s="36"/>
      <c r="D40" s="36"/>
      <c r="E40" s="36"/>
      <c r="F40" s="36"/>
      <c r="G40" s="37"/>
    </row>
    <row r="41" spans="1:7" x14ac:dyDescent="0.25">
      <c r="A41" s="35" t="s">
        <v>91</v>
      </c>
      <c r="B41" s="36">
        <f t="shared" si="0"/>
        <v>0</v>
      </c>
      <c r="C41" s="36"/>
      <c r="D41" s="36"/>
      <c r="E41" s="36"/>
      <c r="F41" s="36"/>
      <c r="G41" s="37"/>
    </row>
    <row r="42" spans="1:7" x14ac:dyDescent="0.25">
      <c r="A42" s="35" t="s">
        <v>92</v>
      </c>
      <c r="B42" s="36">
        <f t="shared" si="0"/>
        <v>0</v>
      </c>
      <c r="C42" s="36"/>
      <c r="D42" s="36"/>
      <c r="E42" s="36"/>
      <c r="F42" s="36"/>
      <c r="G42" s="37"/>
    </row>
    <row r="43" spans="1:7" x14ac:dyDescent="0.25">
      <c r="A43" s="35" t="s">
        <v>93</v>
      </c>
      <c r="B43" s="36">
        <f t="shared" si="0"/>
        <v>0</v>
      </c>
      <c r="C43" s="36"/>
      <c r="D43" s="36"/>
      <c r="E43" s="36"/>
      <c r="F43" s="36"/>
      <c r="G43" s="37"/>
    </row>
    <row r="44" spans="1:7" x14ac:dyDescent="0.25">
      <c r="A44" s="35" t="s">
        <v>94</v>
      </c>
      <c r="B44" s="36">
        <f t="shared" si="0"/>
        <v>0</v>
      </c>
      <c r="C44" s="36"/>
      <c r="D44" s="36"/>
      <c r="E44" s="36"/>
      <c r="F44" s="36"/>
      <c r="G44" s="37"/>
    </row>
    <row r="45" spans="1:7" x14ac:dyDescent="0.25">
      <c r="A45" s="34" t="s">
        <v>95</v>
      </c>
      <c r="B45" s="36">
        <f t="shared" si="0"/>
        <v>682</v>
      </c>
      <c r="C45" s="36">
        <f t="shared" ref="C45:G45" si="3">SUM(C33:C44)</f>
        <v>400</v>
      </c>
      <c r="D45" s="36">
        <f t="shared" si="3"/>
        <v>282</v>
      </c>
      <c r="E45" s="36">
        <f t="shared" si="3"/>
        <v>496</v>
      </c>
      <c r="F45" s="36">
        <f t="shared" si="3"/>
        <v>647</v>
      </c>
      <c r="G45" s="37">
        <f t="shared" si="3"/>
        <v>809</v>
      </c>
    </row>
    <row r="46" spans="1:7" x14ac:dyDescent="0.25">
      <c r="A46" s="82">
        <v>2025</v>
      </c>
      <c r="B46" s="191" t="s">
        <v>98</v>
      </c>
      <c r="C46" s="192"/>
      <c r="D46" s="192"/>
      <c r="E46" s="192"/>
      <c r="F46" s="192"/>
      <c r="G46" s="193"/>
    </row>
    <row r="47" spans="1:7" x14ac:dyDescent="0.25">
      <c r="A47" s="35" t="s">
        <v>2</v>
      </c>
      <c r="B47" s="36">
        <f t="shared" si="0"/>
        <v>242</v>
      </c>
      <c r="C47" s="42">
        <v>68</v>
      </c>
      <c r="D47" s="42">
        <v>174</v>
      </c>
      <c r="E47" s="42">
        <v>83</v>
      </c>
      <c r="F47" s="42">
        <v>321</v>
      </c>
      <c r="G47" s="43">
        <v>358</v>
      </c>
    </row>
    <row r="48" spans="1:7" x14ac:dyDescent="0.25">
      <c r="A48" s="35" t="s">
        <v>85</v>
      </c>
      <c r="B48" s="36">
        <f t="shared" si="0"/>
        <v>267</v>
      </c>
      <c r="C48" s="42">
        <v>72</v>
      </c>
      <c r="D48" s="42">
        <v>195</v>
      </c>
      <c r="E48" s="42">
        <f>65+13</f>
        <v>78</v>
      </c>
      <c r="F48" s="42">
        <f>266+65</f>
        <v>331</v>
      </c>
      <c r="G48" s="43">
        <v>368</v>
      </c>
    </row>
    <row r="49" spans="1:7" x14ac:dyDescent="0.25">
      <c r="A49" s="35" t="s">
        <v>86</v>
      </c>
      <c r="B49" s="36">
        <f t="shared" si="0"/>
        <v>266</v>
      </c>
      <c r="C49" s="42">
        <v>67</v>
      </c>
      <c r="D49" s="42">
        <v>199</v>
      </c>
      <c r="E49" s="42">
        <v>78</v>
      </c>
      <c r="F49" s="42">
        <v>358</v>
      </c>
      <c r="G49" s="43">
        <v>362</v>
      </c>
    </row>
    <row r="50" spans="1:7" x14ac:dyDescent="0.25">
      <c r="A50" s="34" t="s">
        <v>5</v>
      </c>
      <c r="B50" s="36">
        <f t="shared" si="0"/>
        <v>341</v>
      </c>
      <c r="C50" s="42">
        <v>94</v>
      </c>
      <c r="D50" s="42">
        <v>247</v>
      </c>
      <c r="E50" s="42">
        <v>114</v>
      </c>
      <c r="F50" s="42">
        <v>448</v>
      </c>
      <c r="G50" s="43">
        <v>503</v>
      </c>
    </row>
    <row r="51" spans="1:7" x14ac:dyDescent="0.25">
      <c r="A51" s="34" t="s">
        <v>87</v>
      </c>
      <c r="B51" s="36">
        <f t="shared" si="0"/>
        <v>318</v>
      </c>
      <c r="C51" s="42">
        <v>87</v>
      </c>
      <c r="D51" s="42">
        <v>231</v>
      </c>
      <c r="E51" s="42">
        <v>103</v>
      </c>
      <c r="F51" s="42">
        <v>412</v>
      </c>
      <c r="G51" s="43">
        <v>450</v>
      </c>
    </row>
    <row r="52" spans="1:7" x14ac:dyDescent="0.25">
      <c r="A52" s="34" t="s">
        <v>88</v>
      </c>
      <c r="B52" s="36">
        <f t="shared" si="0"/>
        <v>363</v>
      </c>
      <c r="C52" s="42">
        <v>83</v>
      </c>
      <c r="D52" s="42">
        <v>280</v>
      </c>
      <c r="E52" s="42">
        <v>89</v>
      </c>
      <c r="F52" s="42">
        <v>472</v>
      </c>
      <c r="G52" s="43">
        <v>515</v>
      </c>
    </row>
    <row r="53" spans="1:7" x14ac:dyDescent="0.25">
      <c r="A53" s="35" t="s">
        <v>89</v>
      </c>
      <c r="B53" s="36">
        <f t="shared" si="0"/>
        <v>0</v>
      </c>
      <c r="C53" s="44"/>
      <c r="D53" s="44"/>
      <c r="E53" s="44"/>
      <c r="F53" s="44"/>
      <c r="G53" s="45"/>
    </row>
    <row r="54" spans="1:7" x14ac:dyDescent="0.25">
      <c r="A54" s="35" t="s">
        <v>90</v>
      </c>
      <c r="B54" s="36">
        <f t="shared" si="0"/>
        <v>0</v>
      </c>
      <c r="C54" s="44"/>
      <c r="D54" s="44"/>
      <c r="E54" s="44"/>
      <c r="F54" s="44"/>
      <c r="G54" s="45"/>
    </row>
    <row r="55" spans="1:7" x14ac:dyDescent="0.25">
      <c r="A55" s="35" t="s">
        <v>91</v>
      </c>
      <c r="B55" s="36">
        <f t="shared" si="0"/>
        <v>0</v>
      </c>
      <c r="C55" s="44"/>
      <c r="D55" s="44"/>
      <c r="E55" s="44"/>
      <c r="F55" s="44"/>
      <c r="G55" s="45"/>
    </row>
    <row r="56" spans="1:7" x14ac:dyDescent="0.25">
      <c r="A56" s="35" t="s">
        <v>92</v>
      </c>
      <c r="B56" s="36">
        <f t="shared" si="0"/>
        <v>0</v>
      </c>
      <c r="C56" s="44"/>
      <c r="D56" s="44"/>
      <c r="E56" s="44"/>
      <c r="F56" s="44"/>
      <c r="G56" s="45"/>
    </row>
    <row r="57" spans="1:7" x14ac:dyDescent="0.25">
      <c r="A57" s="35" t="s">
        <v>93</v>
      </c>
      <c r="B57" s="36">
        <f t="shared" si="0"/>
        <v>0</v>
      </c>
      <c r="C57" s="44"/>
      <c r="D57" s="44"/>
      <c r="E57" s="44"/>
      <c r="F57" s="44"/>
      <c r="G57" s="45"/>
    </row>
    <row r="58" spans="1:7" x14ac:dyDescent="0.25">
      <c r="A58" s="35" t="s">
        <v>94</v>
      </c>
      <c r="B58" s="36">
        <f t="shared" si="0"/>
        <v>0</v>
      </c>
      <c r="C58" s="44"/>
      <c r="D58" s="44"/>
      <c r="E58" s="44"/>
      <c r="F58" s="44"/>
      <c r="G58" s="45"/>
    </row>
    <row r="59" spans="1:7" x14ac:dyDescent="0.25">
      <c r="A59" s="34" t="s">
        <v>95</v>
      </c>
      <c r="B59" s="36">
        <f t="shared" si="0"/>
        <v>1797</v>
      </c>
      <c r="C59" s="36">
        <f t="shared" ref="C59:G59" si="4">SUM(C47:C58)</f>
        <v>471</v>
      </c>
      <c r="D59" s="36">
        <f t="shared" si="4"/>
        <v>1326</v>
      </c>
      <c r="E59" s="36">
        <f t="shared" si="4"/>
        <v>545</v>
      </c>
      <c r="F59" s="36">
        <f t="shared" si="4"/>
        <v>2342</v>
      </c>
      <c r="G59" s="37">
        <f t="shared" si="4"/>
        <v>2556</v>
      </c>
    </row>
    <row r="60" spans="1:7" x14ac:dyDescent="0.25">
      <c r="A60" s="82">
        <v>2025</v>
      </c>
      <c r="B60" s="194" t="s">
        <v>99</v>
      </c>
      <c r="C60" s="195"/>
      <c r="D60" s="195"/>
      <c r="E60" s="195"/>
      <c r="F60" s="195"/>
      <c r="G60" s="196"/>
    </row>
    <row r="61" spans="1:7" x14ac:dyDescent="0.25">
      <c r="A61" s="35" t="s">
        <v>2</v>
      </c>
      <c r="B61" s="36">
        <f t="shared" si="0"/>
        <v>24</v>
      </c>
      <c r="C61" s="46">
        <v>6</v>
      </c>
      <c r="D61" s="46">
        <v>18</v>
      </c>
      <c r="E61" s="46">
        <f>25+3</f>
        <v>28</v>
      </c>
      <c r="F61" s="46">
        <v>6</v>
      </c>
      <c r="G61" s="47">
        <v>37</v>
      </c>
    </row>
    <row r="62" spans="1:7" x14ac:dyDescent="0.25">
      <c r="A62" s="35" t="s">
        <v>85</v>
      </c>
      <c r="B62" s="36">
        <f t="shared" si="0"/>
        <v>27</v>
      </c>
      <c r="C62" s="46">
        <v>13</v>
      </c>
      <c r="D62" s="46">
        <v>14</v>
      </c>
      <c r="E62" s="46">
        <v>20</v>
      </c>
      <c r="F62" s="46">
        <f>26+8</f>
        <v>34</v>
      </c>
      <c r="G62" s="47">
        <v>45</v>
      </c>
    </row>
    <row r="63" spans="1:7" x14ac:dyDescent="0.25">
      <c r="A63" s="35" t="s">
        <v>86</v>
      </c>
      <c r="B63" s="36">
        <f t="shared" si="0"/>
        <v>23</v>
      </c>
      <c r="C63" s="42">
        <v>9</v>
      </c>
      <c r="D63" s="42">
        <v>14</v>
      </c>
      <c r="E63" s="42">
        <v>9</v>
      </c>
      <c r="F63" s="42">
        <v>24</v>
      </c>
      <c r="G63" s="43">
        <v>36</v>
      </c>
    </row>
    <row r="64" spans="1:7" x14ac:dyDescent="0.25">
      <c r="A64" s="34" t="s">
        <v>5</v>
      </c>
      <c r="B64" s="36">
        <f t="shared" si="0"/>
        <v>40</v>
      </c>
      <c r="C64" s="42">
        <v>21</v>
      </c>
      <c r="D64" s="42">
        <v>19</v>
      </c>
      <c r="E64" s="42">
        <v>26</v>
      </c>
      <c r="F64" s="42">
        <v>41</v>
      </c>
      <c r="G64" s="43">
        <v>56</v>
      </c>
    </row>
    <row r="65" spans="1:7" x14ac:dyDescent="0.25">
      <c r="A65" s="34" t="s">
        <v>87</v>
      </c>
      <c r="B65" s="36">
        <f t="shared" si="0"/>
        <v>34</v>
      </c>
      <c r="C65" s="42">
        <v>18</v>
      </c>
      <c r="D65" s="42">
        <v>16</v>
      </c>
      <c r="E65" s="42">
        <v>23</v>
      </c>
      <c r="F65" s="42">
        <v>26</v>
      </c>
      <c r="G65" s="43">
        <v>58</v>
      </c>
    </row>
    <row r="66" spans="1:7" x14ac:dyDescent="0.25">
      <c r="A66" s="34" t="s">
        <v>88</v>
      </c>
      <c r="B66" s="36">
        <f t="shared" si="0"/>
        <v>27</v>
      </c>
      <c r="C66" s="42">
        <v>10</v>
      </c>
      <c r="D66" s="42">
        <v>17</v>
      </c>
      <c r="E66" s="42">
        <v>9</v>
      </c>
      <c r="F66" s="42">
        <f>27+3</f>
        <v>30</v>
      </c>
      <c r="G66" s="43">
        <v>41</v>
      </c>
    </row>
    <row r="67" spans="1:7" x14ac:dyDescent="0.25">
      <c r="A67" s="35" t="s">
        <v>89</v>
      </c>
      <c r="B67" s="36">
        <f t="shared" si="0"/>
        <v>0</v>
      </c>
      <c r="C67" s="48"/>
      <c r="D67" s="48"/>
      <c r="E67" s="48"/>
      <c r="F67" s="48"/>
      <c r="G67" s="49"/>
    </row>
    <row r="68" spans="1:7" x14ac:dyDescent="0.25">
      <c r="A68" s="35" t="s">
        <v>90</v>
      </c>
      <c r="B68" s="36">
        <f t="shared" si="0"/>
        <v>0</v>
      </c>
      <c r="C68" s="48"/>
      <c r="D68" s="48"/>
      <c r="E68" s="48"/>
      <c r="F68" s="48"/>
      <c r="G68" s="49"/>
    </row>
    <row r="69" spans="1:7" x14ac:dyDescent="0.25">
      <c r="A69" s="35" t="s">
        <v>91</v>
      </c>
      <c r="B69" s="36">
        <f t="shared" si="0"/>
        <v>0</v>
      </c>
      <c r="C69" s="48"/>
      <c r="D69" s="48"/>
      <c r="E69" s="48"/>
      <c r="F69" s="48"/>
      <c r="G69" s="49"/>
    </row>
    <row r="70" spans="1:7" x14ac:dyDescent="0.25">
      <c r="A70" s="35" t="s">
        <v>92</v>
      </c>
      <c r="B70" s="36">
        <f t="shared" ref="B70:B73" si="5">SUM(C70+D70)</f>
        <v>0</v>
      </c>
      <c r="C70" s="48"/>
      <c r="D70" s="48"/>
      <c r="E70" s="48"/>
      <c r="F70" s="48"/>
      <c r="G70" s="49"/>
    </row>
    <row r="71" spans="1:7" x14ac:dyDescent="0.25">
      <c r="A71" s="35" t="s">
        <v>93</v>
      </c>
      <c r="B71" s="36">
        <f t="shared" si="5"/>
        <v>0</v>
      </c>
      <c r="C71" s="48"/>
      <c r="D71" s="48"/>
      <c r="E71" s="48"/>
      <c r="F71" s="48"/>
      <c r="G71" s="49"/>
    </row>
    <row r="72" spans="1:7" x14ac:dyDescent="0.25">
      <c r="A72" s="35" t="s">
        <v>94</v>
      </c>
      <c r="B72" s="36">
        <f t="shared" si="5"/>
        <v>0</v>
      </c>
      <c r="C72" s="48"/>
      <c r="D72" s="48"/>
      <c r="E72" s="48"/>
      <c r="F72" s="48"/>
      <c r="G72" s="49"/>
    </row>
    <row r="73" spans="1:7" x14ac:dyDescent="0.25">
      <c r="A73" s="34" t="s">
        <v>95</v>
      </c>
      <c r="B73" s="36">
        <f t="shared" si="5"/>
        <v>175</v>
      </c>
      <c r="C73" s="36">
        <f t="shared" ref="C73:G73" si="6">SUM(C61:C72)</f>
        <v>77</v>
      </c>
      <c r="D73" s="36">
        <f t="shared" si="6"/>
        <v>98</v>
      </c>
      <c r="E73" s="36">
        <f t="shared" si="6"/>
        <v>115</v>
      </c>
      <c r="F73" s="36">
        <f t="shared" si="6"/>
        <v>161</v>
      </c>
      <c r="G73" s="37">
        <f t="shared" si="6"/>
        <v>273</v>
      </c>
    </row>
    <row r="74" spans="1:7" x14ac:dyDescent="0.25">
      <c r="A74" s="82">
        <v>2025</v>
      </c>
      <c r="B74" s="194" t="s">
        <v>100</v>
      </c>
      <c r="C74" s="195"/>
      <c r="D74" s="195"/>
      <c r="E74" s="195"/>
      <c r="F74" s="195"/>
      <c r="G74" s="196"/>
    </row>
    <row r="75" spans="1:7" x14ac:dyDescent="0.25">
      <c r="A75" s="35" t="s">
        <v>2</v>
      </c>
      <c r="B75" s="46">
        <f>SUM(B5+B19+B33+B47+B61)</f>
        <v>889</v>
      </c>
      <c r="C75" s="46">
        <f t="shared" ref="C75:G75" si="7">SUM(C5+C19+C33+C47+C61)</f>
        <v>534</v>
      </c>
      <c r="D75" s="46">
        <f t="shared" si="7"/>
        <v>355</v>
      </c>
      <c r="E75" s="46">
        <f t="shared" si="7"/>
        <v>638</v>
      </c>
      <c r="F75" s="46">
        <f t="shared" si="7"/>
        <v>1003</v>
      </c>
      <c r="G75" s="47">
        <f t="shared" si="7"/>
        <v>1380</v>
      </c>
    </row>
    <row r="76" spans="1:7" x14ac:dyDescent="0.25">
      <c r="A76" s="35" t="s">
        <v>85</v>
      </c>
      <c r="B76" s="46">
        <f t="shared" ref="B76:G87" si="8">SUM(B6+B20+B34+B48+B62)</f>
        <v>841</v>
      </c>
      <c r="C76" s="46">
        <f t="shared" si="8"/>
        <v>501</v>
      </c>
      <c r="D76" s="46">
        <f t="shared" si="8"/>
        <v>340</v>
      </c>
      <c r="E76" s="46">
        <f t="shared" si="8"/>
        <v>600</v>
      </c>
      <c r="F76" s="46">
        <f t="shared" si="8"/>
        <v>1082</v>
      </c>
      <c r="G76" s="47">
        <f t="shared" si="8"/>
        <v>1287</v>
      </c>
    </row>
    <row r="77" spans="1:7" x14ac:dyDescent="0.25">
      <c r="A77" s="35" t="s">
        <v>86</v>
      </c>
      <c r="B77" s="46">
        <f t="shared" si="8"/>
        <v>941</v>
      </c>
      <c r="C77" s="46">
        <f t="shared" si="8"/>
        <v>546</v>
      </c>
      <c r="D77" s="46">
        <f t="shared" si="8"/>
        <v>395</v>
      </c>
      <c r="E77" s="46">
        <f t="shared" si="8"/>
        <v>633</v>
      </c>
      <c r="F77" s="46">
        <f t="shared" si="8"/>
        <v>1091</v>
      </c>
      <c r="G77" s="47">
        <f t="shared" si="8"/>
        <v>1453</v>
      </c>
    </row>
    <row r="78" spans="1:7" x14ac:dyDescent="0.25">
      <c r="A78" s="34" t="s">
        <v>5</v>
      </c>
      <c r="B78" s="46">
        <f t="shared" si="8"/>
        <v>1050</v>
      </c>
      <c r="C78" s="46">
        <f t="shared" si="8"/>
        <v>568</v>
      </c>
      <c r="D78" s="46">
        <f t="shared" si="8"/>
        <v>482</v>
      </c>
      <c r="E78" s="46">
        <f t="shared" si="8"/>
        <v>662</v>
      </c>
      <c r="F78" s="46">
        <f t="shared" si="8"/>
        <v>1325</v>
      </c>
      <c r="G78" s="47">
        <f t="shared" si="8"/>
        <v>1597</v>
      </c>
    </row>
    <row r="79" spans="1:7" x14ac:dyDescent="0.25">
      <c r="A79" s="34" t="s">
        <v>87</v>
      </c>
      <c r="B79" s="46">
        <f t="shared" si="8"/>
        <v>975</v>
      </c>
      <c r="C79" s="46">
        <f t="shared" si="8"/>
        <v>576</v>
      </c>
      <c r="D79" s="46">
        <f t="shared" si="8"/>
        <v>399</v>
      </c>
      <c r="E79" s="46">
        <f t="shared" si="8"/>
        <v>681</v>
      </c>
      <c r="F79" s="46">
        <f t="shared" si="8"/>
        <v>1145</v>
      </c>
      <c r="G79" s="47">
        <f t="shared" si="8"/>
        <v>1444</v>
      </c>
    </row>
    <row r="80" spans="1:7" x14ac:dyDescent="0.25">
      <c r="A80" s="34" t="s">
        <v>88</v>
      </c>
      <c r="B80" s="46">
        <f t="shared" si="8"/>
        <v>1099</v>
      </c>
      <c r="C80" s="46">
        <f>SUM(C10+C24+C38+C52+C66)</f>
        <v>596</v>
      </c>
      <c r="D80" s="46">
        <f>SUM(D10+D24+D38+D52+D66)</f>
        <v>503</v>
      </c>
      <c r="E80" s="46">
        <f>SUM(E10+E24+E38+E52+E66)</f>
        <v>676</v>
      </c>
      <c r="F80" s="46">
        <f>SUM(F10+F24+F38+F52+F66)</f>
        <v>1516</v>
      </c>
      <c r="G80" s="47">
        <f>SUM(G10+G24+G38+G52+G66)</f>
        <v>1645</v>
      </c>
    </row>
    <row r="81" spans="1:7" x14ac:dyDescent="0.25">
      <c r="A81" s="35" t="s">
        <v>89</v>
      </c>
      <c r="B81" s="46">
        <f t="shared" si="8"/>
        <v>0</v>
      </c>
      <c r="C81" s="46">
        <f t="shared" si="8"/>
        <v>0</v>
      </c>
      <c r="D81" s="46">
        <f t="shared" si="8"/>
        <v>0</v>
      </c>
      <c r="E81" s="46">
        <f t="shared" si="8"/>
        <v>0</v>
      </c>
      <c r="F81" s="46">
        <f t="shared" si="8"/>
        <v>0</v>
      </c>
      <c r="G81" s="47">
        <f t="shared" si="8"/>
        <v>0</v>
      </c>
    </row>
    <row r="82" spans="1:7" x14ac:dyDescent="0.25">
      <c r="A82" s="35" t="s">
        <v>90</v>
      </c>
      <c r="B82" s="46">
        <f t="shared" si="8"/>
        <v>0</v>
      </c>
      <c r="C82" s="46">
        <f t="shared" si="8"/>
        <v>0</v>
      </c>
      <c r="D82" s="46">
        <f t="shared" si="8"/>
        <v>0</v>
      </c>
      <c r="E82" s="46">
        <f t="shared" si="8"/>
        <v>0</v>
      </c>
      <c r="F82" s="46">
        <f t="shared" si="8"/>
        <v>0</v>
      </c>
      <c r="G82" s="47">
        <f t="shared" si="8"/>
        <v>0</v>
      </c>
    </row>
    <row r="83" spans="1:7" x14ac:dyDescent="0.25">
      <c r="A83" s="35" t="s">
        <v>91</v>
      </c>
      <c r="B83" s="46">
        <f t="shared" si="8"/>
        <v>0</v>
      </c>
      <c r="C83" s="46">
        <f t="shared" si="8"/>
        <v>0</v>
      </c>
      <c r="D83" s="46">
        <f t="shared" si="8"/>
        <v>0</v>
      </c>
      <c r="E83" s="46">
        <f t="shared" si="8"/>
        <v>0</v>
      </c>
      <c r="F83" s="46">
        <f t="shared" si="8"/>
        <v>0</v>
      </c>
      <c r="G83" s="47">
        <f t="shared" si="8"/>
        <v>0</v>
      </c>
    </row>
    <row r="84" spans="1:7" x14ac:dyDescent="0.25">
      <c r="A84" s="35" t="s">
        <v>92</v>
      </c>
      <c r="B84" s="46">
        <f t="shared" si="8"/>
        <v>0</v>
      </c>
      <c r="C84" s="46">
        <f t="shared" si="8"/>
        <v>0</v>
      </c>
      <c r="D84" s="46">
        <f t="shared" si="8"/>
        <v>0</v>
      </c>
      <c r="E84" s="46">
        <f t="shared" si="8"/>
        <v>0</v>
      </c>
      <c r="F84" s="46">
        <f t="shared" si="8"/>
        <v>0</v>
      </c>
      <c r="G84" s="47">
        <f t="shared" si="8"/>
        <v>0</v>
      </c>
    </row>
    <row r="85" spans="1:7" x14ac:dyDescent="0.25">
      <c r="A85" s="35" t="s">
        <v>93</v>
      </c>
      <c r="B85" s="46">
        <f t="shared" si="8"/>
        <v>0</v>
      </c>
      <c r="C85" s="46">
        <f t="shared" si="8"/>
        <v>0</v>
      </c>
      <c r="D85" s="46">
        <f t="shared" si="8"/>
        <v>0</v>
      </c>
      <c r="E85" s="46">
        <f t="shared" si="8"/>
        <v>0</v>
      </c>
      <c r="F85" s="46">
        <f t="shared" si="8"/>
        <v>0</v>
      </c>
      <c r="G85" s="47">
        <f t="shared" si="8"/>
        <v>0</v>
      </c>
    </row>
    <row r="86" spans="1:7" x14ac:dyDescent="0.25">
      <c r="A86" s="35" t="s">
        <v>94</v>
      </c>
      <c r="B86" s="46">
        <f t="shared" si="8"/>
        <v>0</v>
      </c>
      <c r="C86" s="46">
        <f t="shared" si="8"/>
        <v>0</v>
      </c>
      <c r="D86" s="46">
        <f t="shared" si="8"/>
        <v>0</v>
      </c>
      <c r="E86" s="46">
        <f t="shared" si="8"/>
        <v>0</v>
      </c>
      <c r="F86" s="46">
        <f t="shared" si="8"/>
        <v>0</v>
      </c>
      <c r="G86" s="47">
        <f t="shared" si="8"/>
        <v>0</v>
      </c>
    </row>
    <row r="87" spans="1:7" ht="15.75" thickBot="1" x14ac:dyDescent="0.3">
      <c r="A87" s="50" t="s">
        <v>95</v>
      </c>
      <c r="B87" s="51">
        <f>SUM(B17+B31+B45+B59+B73)</f>
        <v>5795</v>
      </c>
      <c r="C87" s="51">
        <f t="shared" si="8"/>
        <v>3321</v>
      </c>
      <c r="D87" s="51">
        <f t="shared" si="8"/>
        <v>2474</v>
      </c>
      <c r="E87" s="51">
        <f t="shared" si="8"/>
        <v>3890</v>
      </c>
      <c r="F87" s="51">
        <f t="shared" si="8"/>
        <v>7162</v>
      </c>
      <c r="G87" s="52">
        <f t="shared" si="8"/>
        <v>8806</v>
      </c>
    </row>
    <row r="89" spans="1:7" ht="15.75" thickBot="1" x14ac:dyDescent="0.3"/>
    <row r="90" spans="1:7" ht="15.75" thickBot="1" x14ac:dyDescent="0.3">
      <c r="A90" s="173" t="s">
        <v>101</v>
      </c>
      <c r="B90" s="174"/>
      <c r="C90" s="174"/>
      <c r="D90" s="174"/>
      <c r="E90" s="174"/>
      <c r="F90" s="174"/>
      <c r="G90" s="175"/>
    </row>
    <row r="91" spans="1:7" ht="15.75" thickBot="1" x14ac:dyDescent="0.3">
      <c r="A91" s="176" t="s">
        <v>102</v>
      </c>
      <c r="B91" s="177"/>
      <c r="C91" s="177"/>
      <c r="D91" s="177"/>
      <c r="E91" s="177"/>
      <c r="F91" s="177"/>
      <c r="G91" s="178"/>
    </row>
    <row r="92" spans="1:7" ht="47.25" x14ac:dyDescent="0.25">
      <c r="A92" s="53" t="s">
        <v>103</v>
      </c>
      <c r="B92" s="54" t="s">
        <v>95</v>
      </c>
      <c r="C92" s="55" t="s">
        <v>80</v>
      </c>
      <c r="D92" s="55" t="s">
        <v>104</v>
      </c>
      <c r="E92" s="55" t="s">
        <v>82</v>
      </c>
      <c r="F92" s="55" t="s">
        <v>83</v>
      </c>
      <c r="G92" s="56" t="s">
        <v>105</v>
      </c>
    </row>
    <row r="93" spans="1:7" ht="15.75" x14ac:dyDescent="0.25">
      <c r="A93" s="57">
        <v>2025</v>
      </c>
      <c r="B93" s="58"/>
      <c r="C93" s="59"/>
      <c r="D93" s="59"/>
      <c r="E93" s="59"/>
      <c r="F93" s="59"/>
      <c r="G93" s="60"/>
    </row>
    <row r="94" spans="1:7" ht="15.75" x14ac:dyDescent="0.25">
      <c r="A94" s="61" t="s">
        <v>106</v>
      </c>
      <c r="B94" s="36">
        <f t="shared" ref="B94:B106" si="9">SUM(C94+D94)</f>
        <v>5</v>
      </c>
      <c r="C94" s="62">
        <v>2</v>
      </c>
      <c r="D94" s="62">
        <v>3</v>
      </c>
      <c r="E94" s="62">
        <v>3</v>
      </c>
      <c r="F94" s="62">
        <v>7</v>
      </c>
      <c r="G94" s="63">
        <v>6</v>
      </c>
    </row>
    <row r="95" spans="1:7" ht="15.75" x14ac:dyDescent="0.25">
      <c r="A95" s="61" t="s">
        <v>107</v>
      </c>
      <c r="B95" s="36">
        <f t="shared" si="9"/>
        <v>9</v>
      </c>
      <c r="C95" s="62">
        <v>3</v>
      </c>
      <c r="D95" s="62">
        <v>6</v>
      </c>
      <c r="E95" s="62">
        <v>5</v>
      </c>
      <c r="F95" s="62">
        <v>6</v>
      </c>
      <c r="G95" s="63">
        <v>10</v>
      </c>
    </row>
    <row r="96" spans="1:7" ht="15.75" x14ac:dyDescent="0.25">
      <c r="A96" s="61" t="s">
        <v>108</v>
      </c>
      <c r="B96" s="36">
        <f t="shared" si="9"/>
        <v>9</v>
      </c>
      <c r="C96" s="62">
        <v>0</v>
      </c>
      <c r="D96" s="62">
        <v>9</v>
      </c>
      <c r="E96" s="62">
        <v>0</v>
      </c>
      <c r="F96" s="62">
        <v>16</v>
      </c>
      <c r="G96" s="63">
        <v>11</v>
      </c>
    </row>
    <row r="97" spans="1:7" ht="15.75" x14ac:dyDescent="0.25">
      <c r="A97" s="61" t="s">
        <v>109</v>
      </c>
      <c r="B97" s="36">
        <f t="shared" si="9"/>
        <v>18</v>
      </c>
      <c r="C97" s="62">
        <v>4</v>
      </c>
      <c r="D97" s="62">
        <v>14</v>
      </c>
      <c r="E97" s="62">
        <v>7</v>
      </c>
      <c r="F97" s="62">
        <v>37</v>
      </c>
      <c r="G97" s="63">
        <v>15</v>
      </c>
    </row>
    <row r="98" spans="1:7" ht="15.75" x14ac:dyDescent="0.25">
      <c r="A98" s="61" t="s">
        <v>87</v>
      </c>
      <c r="B98" s="36">
        <f t="shared" si="9"/>
        <v>7</v>
      </c>
      <c r="C98" s="62">
        <v>2</v>
      </c>
      <c r="D98" s="62">
        <v>5</v>
      </c>
      <c r="E98" s="62">
        <v>3</v>
      </c>
      <c r="F98" s="62">
        <v>4</v>
      </c>
      <c r="G98" s="63">
        <v>11</v>
      </c>
    </row>
    <row r="99" spans="1:7" ht="15.75" x14ac:dyDescent="0.25">
      <c r="A99" s="61" t="s">
        <v>110</v>
      </c>
      <c r="B99" s="36">
        <f t="shared" si="9"/>
        <v>14</v>
      </c>
      <c r="C99" s="62">
        <v>4</v>
      </c>
      <c r="D99" s="62">
        <v>10</v>
      </c>
      <c r="E99" s="62">
        <v>4</v>
      </c>
      <c r="F99" s="62">
        <v>24</v>
      </c>
      <c r="G99" s="63">
        <v>17</v>
      </c>
    </row>
    <row r="100" spans="1:7" ht="15.75" x14ac:dyDescent="0.25">
      <c r="A100" s="61" t="s">
        <v>111</v>
      </c>
      <c r="B100" s="36">
        <f t="shared" si="9"/>
        <v>0</v>
      </c>
      <c r="C100" s="62"/>
      <c r="D100" s="62"/>
      <c r="E100" s="62"/>
      <c r="F100" s="62"/>
      <c r="G100" s="63"/>
    </row>
    <row r="101" spans="1:7" ht="15.75" x14ac:dyDescent="0.25">
      <c r="A101" s="61" t="s">
        <v>112</v>
      </c>
      <c r="B101" s="36">
        <f t="shared" si="9"/>
        <v>0</v>
      </c>
      <c r="C101" s="62"/>
      <c r="D101" s="62"/>
      <c r="E101" s="62"/>
      <c r="F101" s="62"/>
      <c r="G101" s="63"/>
    </row>
    <row r="102" spans="1:7" ht="15.75" x14ac:dyDescent="0.25">
      <c r="A102" s="61" t="s">
        <v>113</v>
      </c>
      <c r="B102" s="36">
        <f t="shared" si="9"/>
        <v>0</v>
      </c>
      <c r="C102" s="62"/>
      <c r="D102" s="62"/>
      <c r="E102" s="62"/>
      <c r="F102" s="62"/>
      <c r="G102" s="63"/>
    </row>
    <row r="103" spans="1:7" ht="15.75" x14ac:dyDescent="0.25">
      <c r="A103" s="61" t="s">
        <v>114</v>
      </c>
      <c r="B103" s="36">
        <f t="shared" si="9"/>
        <v>0</v>
      </c>
      <c r="C103" s="62"/>
      <c r="D103" s="62"/>
      <c r="E103" s="62"/>
      <c r="F103" s="62"/>
      <c r="G103" s="63"/>
    </row>
    <row r="104" spans="1:7" ht="15.75" x14ac:dyDescent="0.25">
      <c r="A104" s="61" t="s">
        <v>115</v>
      </c>
      <c r="B104" s="36">
        <f t="shared" si="9"/>
        <v>0</v>
      </c>
      <c r="C104" s="62"/>
      <c r="D104" s="62"/>
      <c r="E104" s="62"/>
      <c r="F104" s="62"/>
      <c r="G104" s="63"/>
    </row>
    <row r="105" spans="1:7" ht="15.75" x14ac:dyDescent="0.25">
      <c r="A105" s="64" t="s">
        <v>116</v>
      </c>
      <c r="B105" s="36">
        <f t="shared" si="9"/>
        <v>0</v>
      </c>
      <c r="C105" s="65"/>
      <c r="D105" s="65"/>
      <c r="E105" s="65"/>
      <c r="F105" s="65"/>
      <c r="G105" s="63"/>
    </row>
    <row r="106" spans="1:7" ht="16.5" thickBot="1" x14ac:dyDescent="0.3">
      <c r="A106" s="66" t="s">
        <v>95</v>
      </c>
      <c r="B106" s="67">
        <f t="shared" si="9"/>
        <v>62</v>
      </c>
      <c r="C106" s="68">
        <f t="shared" ref="C106:G106" si="10">SUM(C93:C105)</f>
        <v>15</v>
      </c>
      <c r="D106" s="68">
        <f t="shared" si="10"/>
        <v>47</v>
      </c>
      <c r="E106" s="68">
        <f t="shared" si="10"/>
        <v>22</v>
      </c>
      <c r="F106" s="68">
        <f t="shared" si="10"/>
        <v>94</v>
      </c>
      <c r="G106" s="69">
        <f t="shared" si="10"/>
        <v>70</v>
      </c>
    </row>
    <row r="107" spans="1:7" ht="18.75" x14ac:dyDescent="0.25">
      <c r="A107" s="179" t="s">
        <v>117</v>
      </c>
      <c r="B107" s="180"/>
      <c r="C107" s="180"/>
      <c r="D107" s="180"/>
      <c r="E107" s="180"/>
      <c r="F107" s="180"/>
      <c r="G107" s="181"/>
    </row>
    <row r="108" spans="1:7" ht="19.5" thickBot="1" x14ac:dyDescent="0.3">
      <c r="A108" s="182" t="s">
        <v>102</v>
      </c>
      <c r="B108" s="183"/>
      <c r="C108" s="183"/>
      <c r="D108" s="183"/>
      <c r="E108" s="183"/>
      <c r="F108" s="183"/>
      <c r="G108" s="184"/>
    </row>
    <row r="109" spans="1:7" ht="47.25" x14ac:dyDescent="0.25">
      <c r="A109" s="53" t="s">
        <v>103</v>
      </c>
      <c r="B109" s="70" t="s">
        <v>95</v>
      </c>
      <c r="C109" s="71" t="s">
        <v>80</v>
      </c>
      <c r="D109" s="71" t="s">
        <v>104</v>
      </c>
      <c r="E109" s="71" t="s">
        <v>82</v>
      </c>
      <c r="F109" s="71" t="s">
        <v>83</v>
      </c>
      <c r="G109" s="72" t="s">
        <v>105</v>
      </c>
    </row>
    <row r="110" spans="1:7" ht="15.75" x14ac:dyDescent="0.25">
      <c r="A110" s="57">
        <v>2025</v>
      </c>
      <c r="B110" s="73"/>
      <c r="C110" s="74"/>
      <c r="D110" s="74"/>
      <c r="E110" s="74"/>
      <c r="F110" s="74"/>
      <c r="G110" s="75"/>
    </row>
    <row r="111" spans="1:7" ht="16.5" x14ac:dyDescent="0.25">
      <c r="A111" s="61" t="s">
        <v>106</v>
      </c>
      <c r="B111" s="76">
        <f t="shared" ref="B111:B123" si="11">SUM(C111+D111)</f>
        <v>38</v>
      </c>
      <c r="C111" s="77">
        <v>10</v>
      </c>
      <c r="D111" s="77">
        <v>28</v>
      </c>
      <c r="E111" s="77">
        <v>10</v>
      </c>
      <c r="F111" s="77">
        <v>54</v>
      </c>
      <c r="G111" s="78">
        <v>49</v>
      </c>
    </row>
    <row r="112" spans="1:7" ht="16.5" x14ac:dyDescent="0.25">
      <c r="A112" s="61" t="s">
        <v>107</v>
      </c>
      <c r="B112" s="76">
        <f t="shared" si="11"/>
        <v>31</v>
      </c>
      <c r="C112" s="77">
        <v>7</v>
      </c>
      <c r="D112" s="77">
        <v>24</v>
      </c>
      <c r="E112" s="77">
        <v>9</v>
      </c>
      <c r="F112" s="77">
        <v>56</v>
      </c>
      <c r="G112" s="78">
        <v>47</v>
      </c>
    </row>
    <row r="113" spans="1:7" ht="16.5" x14ac:dyDescent="0.25">
      <c r="A113" s="61" t="s">
        <v>108</v>
      </c>
      <c r="B113" s="76">
        <f t="shared" si="11"/>
        <v>31</v>
      </c>
      <c r="C113" s="77">
        <v>7</v>
      </c>
      <c r="D113" s="77">
        <v>24</v>
      </c>
      <c r="E113" s="77">
        <v>11</v>
      </c>
      <c r="F113" s="77">
        <v>54</v>
      </c>
      <c r="G113" s="78">
        <v>46</v>
      </c>
    </row>
    <row r="114" spans="1:7" ht="16.5" x14ac:dyDescent="0.25">
      <c r="A114" s="61" t="s">
        <v>109</v>
      </c>
      <c r="B114" s="76">
        <f t="shared" si="11"/>
        <v>55</v>
      </c>
      <c r="C114" s="77">
        <v>11</v>
      </c>
      <c r="D114" s="77">
        <v>44</v>
      </c>
      <c r="E114" s="77">
        <v>11</v>
      </c>
      <c r="F114" s="77">
        <v>115</v>
      </c>
      <c r="G114" s="78">
        <v>82</v>
      </c>
    </row>
    <row r="115" spans="1:7" ht="16.5" x14ac:dyDescent="0.25">
      <c r="A115" s="61" t="s">
        <v>87</v>
      </c>
      <c r="B115" s="76">
        <f t="shared" si="11"/>
        <v>33</v>
      </c>
      <c r="C115" s="77">
        <v>8</v>
      </c>
      <c r="D115" s="77">
        <v>25</v>
      </c>
      <c r="E115" s="77">
        <v>10</v>
      </c>
      <c r="F115" s="77">
        <v>76</v>
      </c>
      <c r="G115" s="78">
        <v>51</v>
      </c>
    </row>
    <row r="116" spans="1:7" ht="16.5" x14ac:dyDescent="0.25">
      <c r="A116" s="61" t="s">
        <v>110</v>
      </c>
      <c r="B116" s="76">
        <f t="shared" si="11"/>
        <v>38</v>
      </c>
      <c r="C116" s="77">
        <v>11</v>
      </c>
      <c r="D116" s="77">
        <v>27</v>
      </c>
      <c r="E116" s="77">
        <v>12</v>
      </c>
      <c r="F116" s="77">
        <v>91</v>
      </c>
      <c r="G116" s="78">
        <v>57</v>
      </c>
    </row>
    <row r="117" spans="1:7" ht="16.5" x14ac:dyDescent="0.25">
      <c r="A117" s="61" t="s">
        <v>111</v>
      </c>
      <c r="B117" s="76">
        <f t="shared" si="11"/>
        <v>0</v>
      </c>
      <c r="C117" s="77"/>
      <c r="D117" s="77"/>
      <c r="E117" s="77"/>
      <c r="F117" s="77"/>
      <c r="G117" s="78"/>
    </row>
    <row r="118" spans="1:7" ht="16.5" x14ac:dyDescent="0.25">
      <c r="A118" s="61" t="s">
        <v>112</v>
      </c>
      <c r="B118" s="76">
        <f t="shared" si="11"/>
        <v>0</v>
      </c>
      <c r="C118" s="77"/>
      <c r="D118" s="77"/>
      <c r="E118" s="77"/>
      <c r="F118" s="77"/>
      <c r="G118" s="78"/>
    </row>
    <row r="119" spans="1:7" ht="16.5" x14ac:dyDescent="0.25">
      <c r="A119" s="61" t="s">
        <v>113</v>
      </c>
      <c r="B119" s="76">
        <f t="shared" si="11"/>
        <v>0</v>
      </c>
      <c r="C119" s="77"/>
      <c r="D119" s="77"/>
      <c r="E119" s="77"/>
      <c r="F119" s="77"/>
      <c r="G119" s="78"/>
    </row>
    <row r="120" spans="1:7" ht="16.5" x14ac:dyDescent="0.25">
      <c r="A120" s="61" t="s">
        <v>114</v>
      </c>
      <c r="B120" s="76">
        <f t="shared" si="11"/>
        <v>0</v>
      </c>
      <c r="C120" s="77"/>
      <c r="D120" s="77"/>
      <c r="E120" s="77"/>
      <c r="F120" s="77"/>
      <c r="G120" s="78"/>
    </row>
    <row r="121" spans="1:7" ht="16.5" x14ac:dyDescent="0.25">
      <c r="A121" s="61" t="s">
        <v>115</v>
      </c>
      <c r="B121" s="76">
        <f t="shared" si="11"/>
        <v>0</v>
      </c>
      <c r="C121" s="77"/>
      <c r="D121" s="77"/>
      <c r="E121" s="77"/>
      <c r="F121" s="77"/>
      <c r="G121" s="78"/>
    </row>
    <row r="122" spans="1:7" ht="16.5" x14ac:dyDescent="0.25">
      <c r="A122" s="64" t="s">
        <v>116</v>
      </c>
      <c r="B122" s="76">
        <f t="shared" si="11"/>
        <v>0</v>
      </c>
      <c r="C122" s="77"/>
      <c r="D122" s="77"/>
      <c r="E122" s="77"/>
      <c r="F122" s="77"/>
      <c r="G122" s="78"/>
    </row>
    <row r="123" spans="1:7" ht="17.25" thickBot="1" x14ac:dyDescent="0.35">
      <c r="A123" s="66" t="s">
        <v>95</v>
      </c>
      <c r="B123" s="79">
        <f t="shared" si="11"/>
        <v>226</v>
      </c>
      <c r="C123" s="80">
        <f t="shared" ref="C123:F123" si="12">SUM(C110:C122)</f>
        <v>54</v>
      </c>
      <c r="D123" s="80">
        <f t="shared" si="12"/>
        <v>172</v>
      </c>
      <c r="E123" s="80">
        <f t="shared" si="12"/>
        <v>63</v>
      </c>
      <c r="F123" s="80">
        <f t="shared" si="12"/>
        <v>446</v>
      </c>
      <c r="G123" s="81">
        <f>SUM(G110:G122)</f>
        <v>332</v>
      </c>
    </row>
  </sheetData>
  <mergeCells count="16">
    <mergeCell ref="A1:G1"/>
    <mergeCell ref="A2:A3"/>
    <mergeCell ref="B2:B3"/>
    <mergeCell ref="C2:D2"/>
    <mergeCell ref="E2:F2"/>
    <mergeCell ref="G2:G3"/>
    <mergeCell ref="A90:G90"/>
    <mergeCell ref="A91:G91"/>
    <mergeCell ref="A107:G107"/>
    <mergeCell ref="A108:G108"/>
    <mergeCell ref="B4:G4"/>
    <mergeCell ref="B18:G18"/>
    <mergeCell ref="B32:G32"/>
    <mergeCell ref="B46:G46"/>
    <mergeCell ref="B60:G60"/>
    <mergeCell ref="B74:G7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D22" sqref="D22"/>
    </sheetView>
  </sheetViews>
  <sheetFormatPr defaultRowHeight="15" x14ac:dyDescent="0.25"/>
  <cols>
    <col min="1" max="1" width="19.85546875" customWidth="1"/>
    <col min="2" max="2" width="19.28515625" customWidth="1"/>
    <col min="3" max="3" width="13.28515625" customWidth="1"/>
    <col min="4" max="4" width="15" customWidth="1"/>
    <col min="5" max="5" width="14.85546875" customWidth="1"/>
    <col min="6" max="6" width="14.42578125" customWidth="1"/>
    <col min="7" max="7" width="13.7109375" customWidth="1"/>
  </cols>
  <sheetData>
    <row r="1" spans="1:7" x14ac:dyDescent="0.25">
      <c r="A1" s="207" t="s">
        <v>118</v>
      </c>
      <c r="B1" s="208"/>
      <c r="C1" s="208"/>
      <c r="D1" s="208"/>
      <c r="E1" s="208"/>
      <c r="F1" s="208"/>
      <c r="G1" s="209"/>
    </row>
    <row r="2" spans="1:7" x14ac:dyDescent="0.25">
      <c r="A2" s="210"/>
      <c r="B2" s="211"/>
      <c r="C2" s="211"/>
      <c r="D2" s="211"/>
      <c r="E2" s="211"/>
      <c r="F2" s="211"/>
      <c r="G2" s="212"/>
    </row>
    <row r="3" spans="1:7" x14ac:dyDescent="0.25">
      <c r="A3" s="213" t="s">
        <v>119</v>
      </c>
      <c r="B3" s="214" t="s">
        <v>120</v>
      </c>
      <c r="C3" s="214"/>
      <c r="D3" s="214"/>
      <c r="E3" s="214"/>
      <c r="F3" s="214"/>
      <c r="G3" s="215"/>
    </row>
    <row r="4" spans="1:7" x14ac:dyDescent="0.25">
      <c r="A4" s="213"/>
      <c r="B4" s="214" t="s">
        <v>95</v>
      </c>
      <c r="C4" s="85" t="s">
        <v>121</v>
      </c>
      <c r="D4" s="214" t="s">
        <v>122</v>
      </c>
      <c r="E4" s="85" t="s">
        <v>123</v>
      </c>
      <c r="F4" s="214" t="s">
        <v>124</v>
      </c>
      <c r="G4" s="215" t="s">
        <v>125</v>
      </c>
    </row>
    <row r="5" spans="1:7" x14ac:dyDescent="0.25">
      <c r="A5" s="213"/>
      <c r="B5" s="214"/>
      <c r="C5" s="85" t="s">
        <v>126</v>
      </c>
      <c r="D5" s="214"/>
      <c r="E5" s="85" t="s">
        <v>127</v>
      </c>
      <c r="F5" s="214"/>
      <c r="G5" s="215"/>
    </row>
    <row r="6" spans="1:7" x14ac:dyDescent="0.25">
      <c r="A6" s="86" t="s">
        <v>2</v>
      </c>
      <c r="B6" s="87">
        <f>C6+D6+E6+F6+G6</f>
        <v>194508878</v>
      </c>
      <c r="C6" s="88">
        <v>72040169</v>
      </c>
      <c r="D6" s="88">
        <v>50678980</v>
      </c>
      <c r="E6" s="88">
        <v>26384662</v>
      </c>
      <c r="F6" s="88">
        <v>43497241</v>
      </c>
      <c r="G6" s="89">
        <v>1907826</v>
      </c>
    </row>
    <row r="7" spans="1:7" x14ac:dyDescent="0.25">
      <c r="A7" s="86" t="s">
        <v>3</v>
      </c>
      <c r="B7" s="87">
        <f>C7+D7+E7+F7+G7</f>
        <v>196017287</v>
      </c>
      <c r="C7" s="88">
        <v>72749567</v>
      </c>
      <c r="D7">
        <v>51150070</v>
      </c>
      <c r="E7" s="88">
        <v>26594166</v>
      </c>
      <c r="F7" s="88">
        <v>43637106</v>
      </c>
      <c r="G7" s="89">
        <v>1886378</v>
      </c>
    </row>
    <row r="8" spans="1:7" x14ac:dyDescent="0.25">
      <c r="A8" s="86" t="s">
        <v>86</v>
      </c>
      <c r="B8" s="87">
        <f t="shared" ref="B8:B17" si="0">C8+D8+E8+F8+G8</f>
        <v>197447234</v>
      </c>
      <c r="C8" s="88">
        <v>73406741</v>
      </c>
      <c r="D8" s="88">
        <v>51464231</v>
      </c>
      <c r="E8" s="88">
        <v>26802388</v>
      </c>
      <c r="F8" s="88">
        <v>43900581</v>
      </c>
      <c r="G8" s="89">
        <v>1873293</v>
      </c>
    </row>
    <row r="9" spans="1:7" x14ac:dyDescent="0.25">
      <c r="A9" s="90" t="s">
        <v>5</v>
      </c>
      <c r="B9" s="87">
        <f t="shared" si="0"/>
        <v>197555772</v>
      </c>
      <c r="C9" s="91">
        <v>73606446</v>
      </c>
      <c r="D9" s="91">
        <v>51546078</v>
      </c>
      <c r="E9" s="91">
        <v>26757356</v>
      </c>
      <c r="F9" s="91">
        <v>43770073</v>
      </c>
      <c r="G9" s="91">
        <v>1875819</v>
      </c>
    </row>
    <row r="10" spans="1:7" x14ac:dyDescent="0.25">
      <c r="A10" s="90" t="s">
        <v>87</v>
      </c>
      <c r="B10" s="87">
        <f t="shared" si="0"/>
        <v>197702157</v>
      </c>
      <c r="C10" s="91">
        <v>73783016</v>
      </c>
      <c r="D10" s="91">
        <v>51671947</v>
      </c>
      <c r="E10" s="92">
        <v>26789706</v>
      </c>
      <c r="F10" s="91">
        <v>43572664</v>
      </c>
      <c r="G10" s="91">
        <v>1884824</v>
      </c>
    </row>
    <row r="11" spans="1:7" x14ac:dyDescent="0.25">
      <c r="A11" s="90" t="s">
        <v>128</v>
      </c>
      <c r="B11" s="87">
        <f t="shared" si="0"/>
        <v>197804229</v>
      </c>
      <c r="C11" s="91">
        <v>73839867</v>
      </c>
      <c r="D11" s="91">
        <v>51884333</v>
      </c>
      <c r="E11" s="91">
        <v>26858916</v>
      </c>
      <c r="F11" s="91">
        <v>43283858</v>
      </c>
      <c r="G11" s="91">
        <v>1937255</v>
      </c>
    </row>
    <row r="12" spans="1:7" x14ac:dyDescent="0.25">
      <c r="A12" s="90" t="s">
        <v>89</v>
      </c>
      <c r="B12" s="87">
        <f t="shared" si="0"/>
        <v>197514683</v>
      </c>
      <c r="C12" s="91">
        <v>73370431</v>
      </c>
      <c r="D12" s="91">
        <v>52064183</v>
      </c>
      <c r="E12" s="91">
        <v>26997429</v>
      </c>
      <c r="F12" s="91">
        <v>43108659</v>
      </c>
      <c r="G12" s="91">
        <v>1973981</v>
      </c>
    </row>
    <row r="13" spans="1:7" x14ac:dyDescent="0.25">
      <c r="A13" s="90" t="s">
        <v>90</v>
      </c>
      <c r="B13" s="87">
        <f t="shared" si="0"/>
        <v>0</v>
      </c>
      <c r="C13" s="91"/>
      <c r="D13" s="91"/>
      <c r="E13" s="91"/>
      <c r="F13" s="91"/>
      <c r="G13" s="91"/>
    </row>
    <row r="14" spans="1:7" x14ac:dyDescent="0.25">
      <c r="A14" s="90" t="s">
        <v>91</v>
      </c>
      <c r="B14" s="87">
        <f t="shared" si="0"/>
        <v>0</v>
      </c>
      <c r="C14" s="91"/>
      <c r="D14" s="91"/>
      <c r="E14" s="91"/>
      <c r="F14" s="91"/>
      <c r="G14" s="91"/>
    </row>
    <row r="15" spans="1:7" x14ac:dyDescent="0.25">
      <c r="A15" s="90" t="s">
        <v>92</v>
      </c>
      <c r="B15" s="87">
        <f t="shared" si="0"/>
        <v>0</v>
      </c>
      <c r="C15" s="91"/>
      <c r="D15" s="91"/>
      <c r="E15" s="91"/>
      <c r="F15" s="91"/>
      <c r="G15" s="91"/>
    </row>
    <row r="16" spans="1:7" x14ac:dyDescent="0.25">
      <c r="A16" s="90" t="s">
        <v>93</v>
      </c>
      <c r="B16" s="87">
        <f t="shared" si="0"/>
        <v>0</v>
      </c>
      <c r="C16" s="91"/>
      <c r="D16" s="91"/>
      <c r="E16" s="91"/>
      <c r="F16" s="91"/>
      <c r="G16" s="91"/>
    </row>
    <row r="17" spans="1:7" x14ac:dyDescent="0.25">
      <c r="A17" s="90" t="s">
        <v>94</v>
      </c>
      <c r="B17" s="87">
        <f t="shared" si="0"/>
        <v>0</v>
      </c>
      <c r="C17" s="91"/>
      <c r="D17" s="91"/>
      <c r="E17" s="91"/>
      <c r="F17" s="91"/>
      <c r="G17" s="91"/>
    </row>
    <row r="18" spans="1:7" ht="15.75" thickBot="1" x14ac:dyDescent="0.3">
      <c r="A18" s="93" t="s">
        <v>129</v>
      </c>
      <c r="B18" s="94">
        <f>SUM(B6:B17)</f>
        <v>1378550240</v>
      </c>
      <c r="C18" s="94">
        <f t="shared" ref="C18:G18" si="1">SUM(C6:C17)</f>
        <v>512796237</v>
      </c>
      <c r="D18" s="94">
        <f t="shared" si="1"/>
        <v>360459822</v>
      </c>
      <c r="E18" s="94">
        <f t="shared" si="1"/>
        <v>187184623</v>
      </c>
      <c r="F18" s="94">
        <f t="shared" si="1"/>
        <v>304770182</v>
      </c>
      <c r="G18" s="94">
        <f t="shared" si="1"/>
        <v>13339376</v>
      </c>
    </row>
    <row r="19" spans="1:7" ht="15.75" x14ac:dyDescent="0.25">
      <c r="A19" s="95" t="s">
        <v>130</v>
      </c>
      <c r="B19" s="96"/>
      <c r="C19" s="96"/>
      <c r="D19" s="96"/>
      <c r="E19" s="96"/>
    </row>
    <row r="20" spans="1:7" ht="15.75" x14ac:dyDescent="0.25">
      <c r="A20" s="97" t="s">
        <v>131</v>
      </c>
      <c r="B20" s="96" t="s">
        <v>132</v>
      </c>
      <c r="C20" s="96"/>
      <c r="D20" s="96"/>
    </row>
  </sheetData>
  <mergeCells count="7">
    <mergeCell ref="A1:G2"/>
    <mergeCell ref="A3:A5"/>
    <mergeCell ref="B3:G3"/>
    <mergeCell ref="B4:B5"/>
    <mergeCell ref="D4:D5"/>
    <mergeCell ref="F4:F5"/>
    <mergeCell ref="G4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3" workbookViewId="0">
      <selection activeCell="K31" sqref="K31"/>
    </sheetView>
  </sheetViews>
  <sheetFormatPr defaultRowHeight="15" x14ac:dyDescent="0.25"/>
  <cols>
    <col min="2" max="2" width="17.7109375" customWidth="1"/>
  </cols>
  <sheetData>
    <row r="1" spans="1:9" x14ac:dyDescent="0.25">
      <c r="A1" s="216" t="s">
        <v>133</v>
      </c>
      <c r="B1" s="217"/>
      <c r="C1" s="217"/>
      <c r="D1" s="217"/>
      <c r="E1" s="217"/>
      <c r="F1" s="217"/>
      <c r="G1" s="217"/>
      <c r="H1" s="217"/>
      <c r="I1" s="218"/>
    </row>
    <row r="2" spans="1:9" x14ac:dyDescent="0.25">
      <c r="A2" s="219"/>
      <c r="B2" s="220"/>
      <c r="C2" s="220"/>
      <c r="D2" s="220"/>
      <c r="E2" s="220"/>
      <c r="F2" s="220"/>
      <c r="G2" s="220"/>
      <c r="H2" s="220"/>
      <c r="I2" s="221"/>
    </row>
    <row r="3" spans="1:9" ht="42.75" x14ac:dyDescent="0.25">
      <c r="A3" s="98" t="s">
        <v>134</v>
      </c>
      <c r="B3" s="99" t="s">
        <v>135</v>
      </c>
      <c r="C3" s="99" t="s">
        <v>136</v>
      </c>
      <c r="D3" s="99" t="s">
        <v>137</v>
      </c>
      <c r="E3" s="99" t="s">
        <v>138</v>
      </c>
      <c r="F3" s="99" t="s">
        <v>139</v>
      </c>
      <c r="G3" s="99" t="s">
        <v>140</v>
      </c>
      <c r="H3" s="99" t="s">
        <v>141</v>
      </c>
      <c r="I3" s="100" t="s">
        <v>95</v>
      </c>
    </row>
    <row r="4" spans="1:9" x14ac:dyDescent="0.25">
      <c r="A4" s="101">
        <v>1</v>
      </c>
      <c r="B4" s="102" t="s">
        <v>142</v>
      </c>
      <c r="C4" s="103">
        <v>89</v>
      </c>
      <c r="D4" s="103">
        <v>23</v>
      </c>
      <c r="E4" s="103">
        <v>58</v>
      </c>
      <c r="F4" s="103">
        <v>4</v>
      </c>
      <c r="G4" s="103">
        <v>32</v>
      </c>
      <c r="H4" s="103">
        <v>18</v>
      </c>
      <c r="I4" s="104">
        <f t="shared" ref="I4:I15" si="0">SUM(E4:H4)</f>
        <v>112</v>
      </c>
    </row>
    <row r="5" spans="1:9" x14ac:dyDescent="0.25">
      <c r="A5" s="101">
        <v>2</v>
      </c>
      <c r="B5" s="102" t="s">
        <v>3</v>
      </c>
      <c r="C5" s="103">
        <v>77</v>
      </c>
      <c r="D5" s="103">
        <v>12</v>
      </c>
      <c r="E5" s="103">
        <v>49</v>
      </c>
      <c r="F5" s="103">
        <v>12</v>
      </c>
      <c r="G5" s="103">
        <v>23</v>
      </c>
      <c r="H5" s="103">
        <v>5</v>
      </c>
      <c r="I5" s="104">
        <f t="shared" si="0"/>
        <v>89</v>
      </c>
    </row>
    <row r="6" spans="1:9" x14ac:dyDescent="0.25">
      <c r="A6" s="101">
        <v>3</v>
      </c>
      <c r="B6" s="102" t="s">
        <v>86</v>
      </c>
      <c r="C6" s="103">
        <v>137</v>
      </c>
      <c r="D6" s="103">
        <v>35</v>
      </c>
      <c r="E6" s="103">
        <v>136</v>
      </c>
      <c r="F6" s="103">
        <v>1</v>
      </c>
      <c r="G6" s="103">
        <v>28</v>
      </c>
      <c r="H6" s="103">
        <v>7</v>
      </c>
      <c r="I6" s="104">
        <f t="shared" si="0"/>
        <v>172</v>
      </c>
    </row>
    <row r="7" spans="1:9" x14ac:dyDescent="0.25">
      <c r="A7" s="101">
        <v>4</v>
      </c>
      <c r="B7" s="102" t="s">
        <v>5</v>
      </c>
      <c r="C7" s="103">
        <v>123</v>
      </c>
      <c r="D7" s="103">
        <v>30</v>
      </c>
      <c r="E7" s="103">
        <v>140</v>
      </c>
      <c r="F7" s="103">
        <v>1</v>
      </c>
      <c r="G7" s="103">
        <v>12</v>
      </c>
      <c r="H7" s="103">
        <v>0</v>
      </c>
      <c r="I7" s="104">
        <f t="shared" si="0"/>
        <v>153</v>
      </c>
    </row>
    <row r="8" spans="1:9" x14ac:dyDescent="0.25">
      <c r="A8" s="101">
        <v>5</v>
      </c>
      <c r="B8" s="102" t="s">
        <v>87</v>
      </c>
      <c r="C8" s="103">
        <v>160</v>
      </c>
      <c r="D8" s="103">
        <v>38</v>
      </c>
      <c r="E8" s="103">
        <v>198</v>
      </c>
      <c r="F8" s="103">
        <v>5</v>
      </c>
      <c r="G8" s="103">
        <v>41</v>
      </c>
      <c r="H8" s="103">
        <v>9</v>
      </c>
      <c r="I8" s="104">
        <f t="shared" si="0"/>
        <v>253</v>
      </c>
    </row>
    <row r="9" spans="1:9" x14ac:dyDescent="0.25">
      <c r="A9" s="101">
        <v>6</v>
      </c>
      <c r="B9" s="102" t="s">
        <v>88</v>
      </c>
      <c r="C9" s="103">
        <v>70</v>
      </c>
      <c r="D9" s="103">
        <v>22</v>
      </c>
      <c r="E9" s="103">
        <v>92</v>
      </c>
      <c r="F9" s="103">
        <v>6</v>
      </c>
      <c r="G9" s="103">
        <v>32</v>
      </c>
      <c r="H9" s="103">
        <v>4</v>
      </c>
      <c r="I9" s="104">
        <f t="shared" si="0"/>
        <v>134</v>
      </c>
    </row>
    <row r="10" spans="1:9" x14ac:dyDescent="0.25">
      <c r="A10" s="101">
        <v>7</v>
      </c>
      <c r="B10" s="102" t="s">
        <v>89</v>
      </c>
      <c r="C10" s="103"/>
      <c r="D10" s="103"/>
      <c r="E10" s="103"/>
      <c r="F10" s="103"/>
      <c r="G10" s="103"/>
      <c r="H10" s="103"/>
      <c r="I10" s="104">
        <f t="shared" si="0"/>
        <v>0</v>
      </c>
    </row>
    <row r="11" spans="1:9" x14ac:dyDescent="0.25">
      <c r="A11" s="101">
        <v>8</v>
      </c>
      <c r="B11" s="102" t="s">
        <v>90</v>
      </c>
      <c r="C11" s="103"/>
      <c r="D11" s="103"/>
      <c r="E11" s="103"/>
      <c r="F11" s="103"/>
      <c r="G11" s="103"/>
      <c r="H11" s="103"/>
      <c r="I11" s="104">
        <f t="shared" si="0"/>
        <v>0</v>
      </c>
    </row>
    <row r="12" spans="1:9" x14ac:dyDescent="0.25">
      <c r="A12" s="101">
        <v>9</v>
      </c>
      <c r="B12" s="102" t="s">
        <v>91</v>
      </c>
      <c r="C12" s="103"/>
      <c r="D12" s="103"/>
      <c r="E12" s="103"/>
      <c r="F12" s="103"/>
      <c r="G12" s="103"/>
      <c r="H12" s="103"/>
      <c r="I12" s="104">
        <f t="shared" si="0"/>
        <v>0</v>
      </c>
    </row>
    <row r="13" spans="1:9" x14ac:dyDescent="0.25">
      <c r="A13" s="101">
        <v>10</v>
      </c>
      <c r="B13" s="102" t="s">
        <v>92</v>
      </c>
      <c r="C13" s="103"/>
      <c r="D13" s="103"/>
      <c r="E13" s="103"/>
      <c r="F13" s="103"/>
      <c r="G13" s="103"/>
      <c r="H13" s="103"/>
      <c r="I13" s="104">
        <f t="shared" si="0"/>
        <v>0</v>
      </c>
    </row>
    <row r="14" spans="1:9" x14ac:dyDescent="0.25">
      <c r="A14" s="101">
        <v>11</v>
      </c>
      <c r="B14" s="102" t="s">
        <v>93</v>
      </c>
      <c r="C14" s="103"/>
      <c r="D14" s="103"/>
      <c r="E14" s="103"/>
      <c r="F14" s="103"/>
      <c r="G14" s="103"/>
      <c r="H14" s="103"/>
      <c r="I14" s="104">
        <f t="shared" si="0"/>
        <v>0</v>
      </c>
    </row>
    <row r="15" spans="1:9" x14ac:dyDescent="0.25">
      <c r="A15" s="101">
        <v>12</v>
      </c>
      <c r="B15" s="102" t="s">
        <v>94</v>
      </c>
      <c r="C15" s="103"/>
      <c r="D15" s="103"/>
      <c r="E15" s="103"/>
      <c r="F15" s="103"/>
      <c r="G15" s="103"/>
      <c r="H15" s="103"/>
      <c r="I15" s="104">
        <f t="shared" si="0"/>
        <v>0</v>
      </c>
    </row>
    <row r="16" spans="1:9" ht="15.75" thickBot="1" x14ac:dyDescent="0.3">
      <c r="A16" s="105"/>
      <c r="B16" s="106" t="s">
        <v>95</v>
      </c>
      <c r="C16" s="107">
        <f xml:space="preserve"> SUM(C4:C15)</f>
        <v>656</v>
      </c>
      <c r="D16" s="107">
        <f t="shared" ref="D16:I16" si="1" xml:space="preserve"> SUM(D4:D15)</f>
        <v>160</v>
      </c>
      <c r="E16" s="107">
        <f t="shared" si="1"/>
        <v>673</v>
      </c>
      <c r="F16" s="107">
        <f t="shared" si="1"/>
        <v>29</v>
      </c>
      <c r="G16" s="107">
        <f t="shared" si="1"/>
        <v>168</v>
      </c>
      <c r="H16" s="107">
        <f t="shared" si="1"/>
        <v>43</v>
      </c>
      <c r="I16" s="107">
        <f t="shared" si="1"/>
        <v>913</v>
      </c>
    </row>
    <row r="17" spans="1:8" ht="15.75" x14ac:dyDescent="0.25">
      <c r="A17" s="108" t="s">
        <v>143</v>
      </c>
    </row>
    <row r="18" spans="1:8" ht="15.75" x14ac:dyDescent="0.25">
      <c r="A18" s="108" t="s">
        <v>144</v>
      </c>
    </row>
    <row r="19" spans="1:8" ht="15.75" thickBot="1" x14ac:dyDescent="0.3">
      <c r="A19" s="108"/>
    </row>
    <row r="20" spans="1:8" x14ac:dyDescent="0.25">
      <c r="A20" s="222" t="s">
        <v>145</v>
      </c>
      <c r="B20" s="223"/>
      <c r="C20" s="223"/>
      <c r="D20" s="223"/>
      <c r="E20" s="223"/>
      <c r="F20" s="223"/>
      <c r="G20" s="223"/>
      <c r="H20" s="224"/>
    </row>
    <row r="21" spans="1:8" ht="15.75" thickBot="1" x14ac:dyDescent="0.3">
      <c r="A21" s="225"/>
      <c r="B21" s="226"/>
      <c r="C21" s="226"/>
      <c r="D21" s="226"/>
      <c r="E21" s="226"/>
      <c r="F21" s="226"/>
      <c r="G21" s="226"/>
      <c r="H21" s="227"/>
    </row>
    <row r="22" spans="1:8" ht="28.5" x14ac:dyDescent="0.25">
      <c r="A22" s="228" t="s">
        <v>134</v>
      </c>
      <c r="B22" s="230" t="s">
        <v>135</v>
      </c>
      <c r="C22" s="230" t="s">
        <v>136</v>
      </c>
      <c r="D22" s="230" t="s">
        <v>137</v>
      </c>
      <c r="E22" s="109" t="s">
        <v>146</v>
      </c>
      <c r="F22" s="230" t="s">
        <v>147</v>
      </c>
      <c r="G22" s="230" t="s">
        <v>141</v>
      </c>
      <c r="H22" s="232" t="s">
        <v>95</v>
      </c>
    </row>
    <row r="23" spans="1:8" x14ac:dyDescent="0.25">
      <c r="A23" s="229"/>
      <c r="B23" s="231"/>
      <c r="C23" s="231"/>
      <c r="D23" s="231"/>
      <c r="E23" s="99" t="s">
        <v>148</v>
      </c>
      <c r="F23" s="231"/>
      <c r="G23" s="231"/>
      <c r="H23" s="233"/>
    </row>
    <row r="24" spans="1:8" x14ac:dyDescent="0.25">
      <c r="A24" s="110">
        <v>1</v>
      </c>
      <c r="B24" s="102" t="s">
        <v>2</v>
      </c>
      <c r="C24" s="103" t="s">
        <v>149</v>
      </c>
      <c r="D24" s="103" t="s">
        <v>149</v>
      </c>
      <c r="E24" s="103" t="s">
        <v>149</v>
      </c>
      <c r="F24" s="103" t="s">
        <v>149</v>
      </c>
      <c r="G24" s="103" t="s">
        <v>149</v>
      </c>
      <c r="H24" s="103" t="s">
        <v>149</v>
      </c>
    </row>
    <row r="25" spans="1:8" x14ac:dyDescent="0.25">
      <c r="A25" s="110">
        <v>2</v>
      </c>
      <c r="B25" s="102" t="s">
        <v>3</v>
      </c>
      <c r="C25" s="103" t="s">
        <v>149</v>
      </c>
      <c r="D25" s="103" t="s">
        <v>149</v>
      </c>
      <c r="E25" s="103" t="s">
        <v>149</v>
      </c>
      <c r="F25" s="103" t="s">
        <v>149</v>
      </c>
      <c r="G25" s="103" t="s">
        <v>149</v>
      </c>
      <c r="H25" s="103" t="s">
        <v>149</v>
      </c>
    </row>
    <row r="26" spans="1:8" x14ac:dyDescent="0.25">
      <c r="A26" s="110">
        <v>3</v>
      </c>
      <c r="B26" s="102" t="s">
        <v>86</v>
      </c>
      <c r="C26" s="103">
        <v>1</v>
      </c>
      <c r="D26" s="103" t="s">
        <v>149</v>
      </c>
      <c r="E26" s="103" t="s">
        <v>149</v>
      </c>
      <c r="F26" s="103" t="s">
        <v>149</v>
      </c>
      <c r="G26" s="103" t="s">
        <v>149</v>
      </c>
      <c r="H26" s="103" t="s">
        <v>149</v>
      </c>
    </row>
    <row r="27" spans="1:8" x14ac:dyDescent="0.25">
      <c r="A27" s="110">
        <v>4</v>
      </c>
      <c r="B27" s="102" t="s">
        <v>5</v>
      </c>
      <c r="C27" s="103" t="s">
        <v>149</v>
      </c>
      <c r="D27" s="103" t="s">
        <v>149</v>
      </c>
      <c r="E27" s="103" t="s">
        <v>149</v>
      </c>
      <c r="F27" s="103" t="s">
        <v>149</v>
      </c>
      <c r="G27" s="103" t="s">
        <v>149</v>
      </c>
      <c r="H27" s="103" t="s">
        <v>149</v>
      </c>
    </row>
    <row r="28" spans="1:8" x14ac:dyDescent="0.25">
      <c r="A28" s="110">
        <v>5</v>
      </c>
      <c r="B28" s="102" t="s">
        <v>87</v>
      </c>
      <c r="C28" s="103" t="s">
        <v>149</v>
      </c>
      <c r="D28" s="103" t="s">
        <v>149</v>
      </c>
      <c r="E28" s="103" t="s">
        <v>149</v>
      </c>
      <c r="F28" s="103" t="s">
        <v>149</v>
      </c>
      <c r="G28" s="103" t="s">
        <v>149</v>
      </c>
      <c r="H28" s="103" t="s">
        <v>149</v>
      </c>
    </row>
    <row r="29" spans="1:8" x14ac:dyDescent="0.25">
      <c r="A29" s="110">
        <v>6</v>
      </c>
      <c r="B29" s="102" t="s">
        <v>88</v>
      </c>
      <c r="C29" s="103" t="s">
        <v>149</v>
      </c>
      <c r="D29" s="103" t="s">
        <v>149</v>
      </c>
      <c r="E29" s="103" t="s">
        <v>149</v>
      </c>
      <c r="F29" s="103" t="s">
        <v>149</v>
      </c>
      <c r="G29" s="103" t="s">
        <v>149</v>
      </c>
      <c r="H29" s="103" t="s">
        <v>149</v>
      </c>
    </row>
    <row r="30" spans="1:8" x14ac:dyDescent="0.25">
      <c r="A30" s="110">
        <v>7</v>
      </c>
      <c r="B30" s="102" t="s">
        <v>89</v>
      </c>
      <c r="C30" s="103"/>
      <c r="D30" s="103"/>
      <c r="E30" s="103"/>
      <c r="F30" s="103"/>
      <c r="G30" s="103"/>
      <c r="H30" s="103"/>
    </row>
    <row r="31" spans="1:8" x14ac:dyDescent="0.25">
      <c r="A31" s="110">
        <v>8</v>
      </c>
      <c r="B31" s="102" t="s">
        <v>90</v>
      </c>
      <c r="C31" s="103"/>
      <c r="D31" s="103"/>
      <c r="E31" s="103"/>
      <c r="F31" s="103"/>
      <c r="G31" s="103"/>
      <c r="H31" s="103"/>
    </row>
    <row r="32" spans="1:8" x14ac:dyDescent="0.25">
      <c r="A32" s="110">
        <v>9</v>
      </c>
      <c r="B32" s="102" t="s">
        <v>91</v>
      </c>
      <c r="C32" s="103"/>
      <c r="D32" s="103"/>
      <c r="E32" s="103"/>
      <c r="F32" s="103"/>
      <c r="G32" s="103"/>
      <c r="H32" s="103"/>
    </row>
    <row r="33" spans="1:8" x14ac:dyDescent="0.25">
      <c r="A33" s="110">
        <v>10</v>
      </c>
      <c r="B33" s="102" t="s">
        <v>92</v>
      </c>
      <c r="C33" s="103"/>
      <c r="D33" s="103"/>
      <c r="E33" s="103"/>
      <c r="F33" s="103"/>
      <c r="G33" s="103"/>
      <c r="H33" s="103"/>
    </row>
    <row r="34" spans="1:8" x14ac:dyDescent="0.25">
      <c r="A34" s="110">
        <v>11</v>
      </c>
      <c r="B34" s="102" t="s">
        <v>93</v>
      </c>
      <c r="C34" s="103"/>
      <c r="D34" s="103"/>
      <c r="E34" s="103"/>
      <c r="F34" s="103"/>
      <c r="G34" s="103"/>
      <c r="H34" s="103"/>
    </row>
    <row r="35" spans="1:8" ht="15.75" thickBot="1" x14ac:dyDescent="0.3">
      <c r="A35" s="111">
        <v>12</v>
      </c>
      <c r="B35" s="112" t="s">
        <v>94</v>
      </c>
      <c r="C35" s="113"/>
      <c r="D35" s="113"/>
      <c r="E35" s="113"/>
      <c r="F35" s="113"/>
      <c r="G35" s="113"/>
      <c r="H35" s="113"/>
    </row>
    <row r="36" spans="1:8" ht="15.75" thickBot="1" x14ac:dyDescent="0.3">
      <c r="A36" s="114"/>
      <c r="B36" s="115" t="s">
        <v>95</v>
      </c>
      <c r="C36" s="116">
        <f>SUM(C24:C35)</f>
        <v>1</v>
      </c>
      <c r="D36" s="116">
        <f t="shared" ref="D36:H36" si="2">SUM(D24:D35)</f>
        <v>0</v>
      </c>
      <c r="E36" s="116">
        <f t="shared" si="2"/>
        <v>0</v>
      </c>
      <c r="F36" s="116">
        <f t="shared" si="2"/>
        <v>0</v>
      </c>
      <c r="G36" s="116">
        <f t="shared" si="2"/>
        <v>0</v>
      </c>
      <c r="H36" s="117">
        <f t="shared" si="2"/>
        <v>0</v>
      </c>
    </row>
    <row r="37" spans="1:8" ht="15.75" x14ac:dyDescent="0.25">
      <c r="A37" s="108" t="s">
        <v>150</v>
      </c>
    </row>
    <row r="38" spans="1:8" ht="15.75" x14ac:dyDescent="0.25">
      <c r="A38" s="108" t="s">
        <v>151</v>
      </c>
    </row>
  </sheetData>
  <mergeCells count="9">
    <mergeCell ref="A1:I2"/>
    <mergeCell ref="A20:H21"/>
    <mergeCell ref="A22:A23"/>
    <mergeCell ref="B22:B23"/>
    <mergeCell ref="C22:C23"/>
    <mergeCell ref="D22:D23"/>
    <mergeCell ref="F22:F23"/>
    <mergeCell ref="G22:G23"/>
    <mergeCell ref="H22:H23"/>
  </mergeCells>
  <pageMargins left="0.7" right="0.7" top="0.75" bottom="0.75" header="0.3" footer="0.3"/>
  <ignoredErrors>
    <ignoredError sqref="I4:I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abSelected="1" workbookViewId="0">
      <selection activeCell="L12" sqref="L12"/>
    </sheetView>
  </sheetViews>
  <sheetFormatPr defaultRowHeight="15" x14ac:dyDescent="0.25"/>
  <cols>
    <col min="1" max="1" width="16" customWidth="1"/>
  </cols>
  <sheetData>
    <row r="1" spans="1:17" ht="16.5" thickBot="1" x14ac:dyDescent="0.3">
      <c r="A1" s="247" t="s">
        <v>152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9"/>
    </row>
    <row r="2" spans="1:17" ht="16.5" thickBot="1" x14ac:dyDescent="0.3">
      <c r="A2" s="250" t="s">
        <v>153</v>
      </c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2"/>
    </row>
    <row r="3" spans="1:17" ht="26.25" thickBot="1" x14ac:dyDescent="0.3">
      <c r="A3" s="118" t="s">
        <v>154</v>
      </c>
      <c r="B3" s="119" t="s">
        <v>155</v>
      </c>
      <c r="C3" s="119" t="s">
        <v>156</v>
      </c>
      <c r="D3" s="119" t="s">
        <v>157</v>
      </c>
      <c r="E3" s="119" t="s">
        <v>158</v>
      </c>
      <c r="F3" s="119" t="s">
        <v>159</v>
      </c>
      <c r="G3" s="119" t="s">
        <v>160</v>
      </c>
      <c r="H3" s="119" t="s">
        <v>161</v>
      </c>
      <c r="I3" s="119" t="s">
        <v>162</v>
      </c>
      <c r="J3" s="119" t="s">
        <v>163</v>
      </c>
      <c r="K3" s="119" t="s">
        <v>164</v>
      </c>
      <c r="L3" s="119" t="s">
        <v>165</v>
      </c>
      <c r="M3" s="119" t="s">
        <v>166</v>
      </c>
      <c r="N3" s="119" t="s">
        <v>167</v>
      </c>
      <c r="O3" s="119" t="s">
        <v>168</v>
      </c>
      <c r="P3" s="119" t="s">
        <v>169</v>
      </c>
      <c r="Q3" s="120" t="s">
        <v>170</v>
      </c>
    </row>
    <row r="4" spans="1:17" x14ac:dyDescent="0.25">
      <c r="A4" s="121" t="s">
        <v>2</v>
      </c>
      <c r="B4" s="122">
        <v>677285</v>
      </c>
      <c r="C4" s="122">
        <v>588957</v>
      </c>
      <c r="D4" s="122">
        <v>600981</v>
      </c>
      <c r="E4" s="122">
        <v>561793</v>
      </c>
      <c r="F4" s="122">
        <v>564351</v>
      </c>
      <c r="G4" s="123">
        <v>571988</v>
      </c>
      <c r="H4" s="123">
        <v>594659</v>
      </c>
      <c r="I4" s="123">
        <v>591740</v>
      </c>
      <c r="J4" s="123">
        <v>559214</v>
      </c>
      <c r="K4" s="124">
        <v>548548</v>
      </c>
      <c r="L4" s="123">
        <v>588416</v>
      </c>
      <c r="M4" s="123">
        <v>557036</v>
      </c>
      <c r="N4" s="123">
        <v>551126</v>
      </c>
      <c r="O4" s="123">
        <v>536741</v>
      </c>
      <c r="P4" s="125">
        <v>17006</v>
      </c>
      <c r="Q4" s="126">
        <v>516617</v>
      </c>
    </row>
    <row r="5" spans="1:17" x14ac:dyDescent="0.25">
      <c r="A5" s="127" t="s">
        <v>3</v>
      </c>
      <c r="B5" s="128">
        <v>653300</v>
      </c>
      <c r="C5" s="128">
        <v>584118</v>
      </c>
      <c r="D5" s="128">
        <v>752763</v>
      </c>
      <c r="E5" s="128">
        <v>681803</v>
      </c>
      <c r="F5" s="128">
        <v>652685</v>
      </c>
      <c r="G5" s="129">
        <v>722707</v>
      </c>
      <c r="H5" s="129">
        <v>700059</v>
      </c>
      <c r="I5" s="129">
        <v>752213</v>
      </c>
      <c r="J5" s="129">
        <v>688177</v>
      </c>
      <c r="K5" s="129">
        <v>660859</v>
      </c>
      <c r="L5" s="129">
        <v>701778</v>
      </c>
      <c r="M5" s="129">
        <v>641107</v>
      </c>
      <c r="N5" s="129">
        <v>629653</v>
      </c>
      <c r="O5" s="129">
        <v>752975</v>
      </c>
      <c r="P5" s="130">
        <v>19438</v>
      </c>
      <c r="Q5" s="131">
        <v>726283</v>
      </c>
    </row>
    <row r="6" spans="1:17" x14ac:dyDescent="0.25">
      <c r="A6" s="127" t="s">
        <v>86</v>
      </c>
      <c r="B6" s="128">
        <v>550661</v>
      </c>
      <c r="C6" s="128">
        <v>522328</v>
      </c>
      <c r="D6" s="128">
        <v>563548</v>
      </c>
      <c r="E6" s="128">
        <v>535465</v>
      </c>
      <c r="F6" s="128">
        <v>523193</v>
      </c>
      <c r="G6" s="129">
        <v>559973</v>
      </c>
      <c r="H6" s="129">
        <v>544912</v>
      </c>
      <c r="I6" s="129">
        <v>560041</v>
      </c>
      <c r="J6" s="129">
        <v>534337</v>
      </c>
      <c r="K6" s="129">
        <v>521022</v>
      </c>
      <c r="L6" s="129">
        <v>556758</v>
      </c>
      <c r="M6" s="129">
        <v>525070</v>
      </c>
      <c r="N6" s="129">
        <v>512895</v>
      </c>
      <c r="O6" s="129">
        <v>520523</v>
      </c>
      <c r="P6" s="130">
        <v>13325</v>
      </c>
      <c r="Q6" s="131">
        <v>555184</v>
      </c>
    </row>
    <row r="7" spans="1:17" x14ac:dyDescent="0.25">
      <c r="A7" s="127" t="s">
        <v>5</v>
      </c>
      <c r="B7" s="128">
        <v>581575</v>
      </c>
      <c r="C7" s="128">
        <v>518587</v>
      </c>
      <c r="D7" s="128">
        <v>591157</v>
      </c>
      <c r="E7" s="128">
        <v>564074</v>
      </c>
      <c r="F7" s="128">
        <v>552168</v>
      </c>
      <c r="G7" s="129">
        <v>577199</v>
      </c>
      <c r="H7" s="129">
        <v>587895</v>
      </c>
      <c r="I7" s="129">
        <v>620679</v>
      </c>
      <c r="J7" s="129">
        <v>564199</v>
      </c>
      <c r="K7" s="129">
        <v>551892</v>
      </c>
      <c r="L7" s="129">
        <v>584421</v>
      </c>
      <c r="M7" s="129">
        <v>558349</v>
      </c>
      <c r="N7" s="129">
        <v>547053</v>
      </c>
      <c r="O7" s="129">
        <v>542151</v>
      </c>
      <c r="P7" s="130">
        <v>16785</v>
      </c>
      <c r="Q7" s="131">
        <v>502861</v>
      </c>
    </row>
    <row r="8" spans="1:17" x14ac:dyDescent="0.25">
      <c r="A8" s="127" t="s">
        <v>87</v>
      </c>
      <c r="B8" s="128">
        <v>519833</v>
      </c>
      <c r="C8" s="128">
        <v>457168</v>
      </c>
      <c r="D8" s="128">
        <v>553518</v>
      </c>
      <c r="E8" s="128">
        <v>534136</v>
      </c>
      <c r="F8" s="128">
        <v>531087</v>
      </c>
      <c r="G8" s="129">
        <v>553580</v>
      </c>
      <c r="H8" s="129">
        <v>547932</v>
      </c>
      <c r="I8" s="129">
        <v>551248</v>
      </c>
      <c r="J8" s="129">
        <v>534064</v>
      </c>
      <c r="K8" s="129">
        <v>531935</v>
      </c>
      <c r="L8" s="129">
        <v>546858</v>
      </c>
      <c r="M8" s="129">
        <v>528278</v>
      </c>
      <c r="N8" s="129">
        <v>526872</v>
      </c>
      <c r="O8" s="129">
        <v>540181</v>
      </c>
      <c r="P8" s="130">
        <v>14895</v>
      </c>
      <c r="Q8" s="131">
        <v>496102</v>
      </c>
    </row>
    <row r="9" spans="1:17" x14ac:dyDescent="0.25">
      <c r="A9" s="127" t="s">
        <v>88</v>
      </c>
      <c r="B9" s="128">
        <v>514142</v>
      </c>
      <c r="C9" s="128">
        <v>461304</v>
      </c>
      <c r="D9" s="128">
        <v>569675</v>
      </c>
      <c r="E9" s="128">
        <v>556339</v>
      </c>
      <c r="F9" s="128">
        <v>582342</v>
      </c>
      <c r="G9" s="129">
        <v>590979</v>
      </c>
      <c r="H9" s="129">
        <v>549523</v>
      </c>
      <c r="I9" s="129">
        <v>566024</v>
      </c>
      <c r="J9" s="129">
        <v>555631</v>
      </c>
      <c r="K9" s="129">
        <v>558935</v>
      </c>
      <c r="L9" s="129">
        <v>541083</v>
      </c>
      <c r="M9" s="129">
        <v>533361</v>
      </c>
      <c r="N9" s="129">
        <v>542053</v>
      </c>
      <c r="O9" s="129">
        <v>595975</v>
      </c>
      <c r="P9" s="130">
        <v>16387</v>
      </c>
      <c r="Q9" s="131">
        <v>545505</v>
      </c>
    </row>
    <row r="10" spans="1:17" x14ac:dyDescent="0.25">
      <c r="A10" s="127" t="s">
        <v>89</v>
      </c>
      <c r="B10" s="128">
        <v>538173</v>
      </c>
      <c r="C10" s="128">
        <v>486697</v>
      </c>
      <c r="D10" s="128">
        <v>599384</v>
      </c>
      <c r="E10" s="128">
        <v>600591</v>
      </c>
      <c r="F10" s="128">
        <v>626993</v>
      </c>
      <c r="G10" s="129">
        <v>645420</v>
      </c>
      <c r="H10" s="129">
        <v>577161</v>
      </c>
      <c r="I10" s="129">
        <v>600062</v>
      </c>
      <c r="J10" s="129">
        <v>600527</v>
      </c>
      <c r="K10" s="129">
        <v>625553</v>
      </c>
      <c r="L10" s="129">
        <v>589060</v>
      </c>
      <c r="M10" s="129">
        <v>574084</v>
      </c>
      <c r="N10" s="129">
        <v>582816</v>
      </c>
      <c r="O10" s="129">
        <v>721103</v>
      </c>
      <c r="P10" s="130">
        <v>13833</v>
      </c>
      <c r="Q10" s="131">
        <v>728933</v>
      </c>
    </row>
    <row r="11" spans="1:17" x14ac:dyDescent="0.25">
      <c r="A11" s="127" t="s">
        <v>90</v>
      </c>
      <c r="B11" s="128"/>
      <c r="C11" s="128"/>
      <c r="D11" s="128"/>
      <c r="E11" s="128"/>
      <c r="F11" s="128"/>
      <c r="G11" s="129"/>
      <c r="H11" s="129"/>
      <c r="I11" s="129"/>
      <c r="J11" s="129"/>
      <c r="K11" s="129"/>
      <c r="L11" s="129"/>
      <c r="M11" s="129"/>
      <c r="N11" s="129"/>
      <c r="O11" s="129"/>
      <c r="P11" s="130"/>
      <c r="Q11" s="131"/>
    </row>
    <row r="12" spans="1:17" x14ac:dyDescent="0.25">
      <c r="A12" s="127" t="s">
        <v>91</v>
      </c>
      <c r="B12" s="128"/>
      <c r="C12" s="128"/>
      <c r="D12" s="128"/>
      <c r="E12" s="128"/>
      <c r="F12" s="128"/>
      <c r="G12" s="129"/>
      <c r="H12" s="129"/>
      <c r="I12" s="129"/>
      <c r="J12" s="129"/>
      <c r="K12" s="129"/>
      <c r="L12" s="129"/>
      <c r="M12" s="129"/>
      <c r="N12" s="129"/>
      <c r="O12" s="129"/>
      <c r="P12" s="130"/>
      <c r="Q12" s="131"/>
    </row>
    <row r="13" spans="1:17" x14ac:dyDescent="0.25">
      <c r="A13" s="127" t="s">
        <v>92</v>
      </c>
      <c r="B13" s="128"/>
      <c r="C13" s="128"/>
      <c r="D13" s="128"/>
      <c r="E13" s="128"/>
      <c r="F13" s="128"/>
      <c r="G13" s="129"/>
      <c r="H13" s="129"/>
      <c r="I13" s="129"/>
      <c r="J13" s="129"/>
      <c r="K13" s="129"/>
      <c r="L13" s="129"/>
      <c r="M13" s="129"/>
      <c r="N13" s="129"/>
      <c r="O13" s="129"/>
      <c r="P13" s="130"/>
      <c r="Q13" s="131"/>
    </row>
    <row r="14" spans="1:17" x14ac:dyDescent="0.25">
      <c r="A14" s="127" t="s">
        <v>93</v>
      </c>
      <c r="B14" s="128"/>
      <c r="C14" s="128"/>
      <c r="D14" s="128"/>
      <c r="E14" s="128"/>
      <c r="F14" s="128"/>
      <c r="G14" s="129"/>
      <c r="H14" s="129"/>
      <c r="I14" s="129"/>
      <c r="J14" s="129"/>
      <c r="K14" s="129"/>
      <c r="L14" s="129"/>
      <c r="M14" s="129"/>
      <c r="N14" s="129"/>
      <c r="O14" s="129"/>
      <c r="P14" s="130"/>
      <c r="Q14" s="131"/>
    </row>
    <row r="15" spans="1:17" x14ac:dyDescent="0.25">
      <c r="A15" s="127" t="s">
        <v>94</v>
      </c>
      <c r="B15" s="128"/>
      <c r="C15" s="128"/>
      <c r="D15" s="128"/>
      <c r="E15" s="128"/>
      <c r="F15" s="128"/>
      <c r="G15" s="129"/>
      <c r="H15" s="129"/>
      <c r="I15" s="129"/>
      <c r="J15" s="129"/>
      <c r="K15" s="129"/>
      <c r="L15" s="129"/>
      <c r="M15" s="129"/>
      <c r="N15" s="129"/>
      <c r="O15" s="129"/>
      <c r="P15" s="130"/>
      <c r="Q15" s="131"/>
    </row>
    <row r="16" spans="1:17" ht="15.75" thickBot="1" x14ac:dyDescent="0.3">
      <c r="A16" s="132" t="s">
        <v>95</v>
      </c>
      <c r="B16" s="133">
        <f>SUM(B4:B15)</f>
        <v>4034969</v>
      </c>
      <c r="C16" s="133">
        <f t="shared" ref="C16:Q16" si="0">SUM(C4:C15)</f>
        <v>3619159</v>
      </c>
      <c r="D16" s="133">
        <f t="shared" si="0"/>
        <v>4231026</v>
      </c>
      <c r="E16" s="133">
        <f t="shared" si="0"/>
        <v>4034201</v>
      </c>
      <c r="F16" s="133">
        <f t="shared" si="0"/>
        <v>4032819</v>
      </c>
      <c r="G16" s="133">
        <f t="shared" si="0"/>
        <v>4221846</v>
      </c>
      <c r="H16" s="133">
        <f t="shared" si="0"/>
        <v>4102141</v>
      </c>
      <c r="I16" s="133">
        <f t="shared" si="0"/>
        <v>4242007</v>
      </c>
      <c r="J16" s="133">
        <f t="shared" si="0"/>
        <v>4036149</v>
      </c>
      <c r="K16" s="133">
        <f t="shared" si="0"/>
        <v>3998744</v>
      </c>
      <c r="L16" s="133">
        <f t="shared" si="0"/>
        <v>4108374</v>
      </c>
      <c r="M16" s="133">
        <f t="shared" si="0"/>
        <v>3917285</v>
      </c>
      <c r="N16" s="133">
        <f t="shared" si="0"/>
        <v>3892468</v>
      </c>
      <c r="O16" s="133">
        <f t="shared" si="0"/>
        <v>4209649</v>
      </c>
      <c r="P16" s="133">
        <f t="shared" si="0"/>
        <v>111669</v>
      </c>
      <c r="Q16" s="134">
        <f t="shared" si="0"/>
        <v>4071485</v>
      </c>
    </row>
    <row r="17" spans="1:17" x14ac:dyDescent="0.25">
      <c r="A17" s="108" t="s">
        <v>171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6"/>
      <c r="P17" s="137"/>
      <c r="Q17" s="137" t="s">
        <v>172</v>
      </c>
    </row>
    <row r="18" spans="1:17" ht="15.75" thickBot="1" x14ac:dyDescent="0.3"/>
    <row r="19" spans="1:17" ht="16.5" thickBot="1" x14ac:dyDescent="0.3">
      <c r="A19" s="253" t="s">
        <v>152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5"/>
    </row>
    <row r="20" spans="1:17" ht="16.5" thickBot="1" x14ac:dyDescent="0.3">
      <c r="A20" s="256" t="s">
        <v>173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  <c r="L20" s="257"/>
      <c r="M20" s="257"/>
      <c r="N20" s="257"/>
      <c r="O20" s="258"/>
    </row>
    <row r="21" spans="1:17" x14ac:dyDescent="0.25">
      <c r="A21" s="259" t="s">
        <v>174</v>
      </c>
      <c r="B21" s="243" t="s">
        <v>155</v>
      </c>
      <c r="C21" s="243" t="s">
        <v>157</v>
      </c>
      <c r="D21" s="243" t="s">
        <v>158</v>
      </c>
      <c r="E21" s="243" t="s">
        <v>159</v>
      </c>
      <c r="F21" s="243" t="s">
        <v>162</v>
      </c>
      <c r="G21" s="243" t="s">
        <v>175</v>
      </c>
      <c r="H21" s="138"/>
      <c r="I21" s="243" t="s">
        <v>164</v>
      </c>
      <c r="J21" s="138" t="s">
        <v>176</v>
      </c>
      <c r="K21" s="138" t="s">
        <v>176</v>
      </c>
      <c r="L21" s="138" t="s">
        <v>176</v>
      </c>
      <c r="M21" s="243" t="s">
        <v>168</v>
      </c>
      <c r="N21" s="243" t="s">
        <v>169</v>
      </c>
      <c r="O21" s="245" t="s">
        <v>177</v>
      </c>
    </row>
    <row r="22" spans="1:17" ht="15.75" thickBot="1" x14ac:dyDescent="0.3">
      <c r="A22" s="260"/>
      <c r="B22" s="244"/>
      <c r="C22" s="244"/>
      <c r="D22" s="244"/>
      <c r="E22" s="244"/>
      <c r="F22" s="244"/>
      <c r="G22" s="244"/>
      <c r="H22" s="139"/>
      <c r="I22" s="244"/>
      <c r="J22" s="140">
        <v>-1</v>
      </c>
      <c r="K22" s="140">
        <v>-2</v>
      </c>
      <c r="L22" s="140">
        <v>-3</v>
      </c>
      <c r="M22" s="244"/>
      <c r="N22" s="244"/>
      <c r="O22" s="246"/>
    </row>
    <row r="23" spans="1:17" x14ac:dyDescent="0.25">
      <c r="A23" s="141" t="s">
        <v>2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3">
        <v>524697</v>
      </c>
    </row>
    <row r="24" spans="1:17" x14ac:dyDescent="0.25">
      <c r="A24" s="144" t="s">
        <v>3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6">
        <v>690645</v>
      </c>
    </row>
    <row r="25" spans="1:17" x14ac:dyDescent="0.25">
      <c r="A25" s="144" t="s">
        <v>86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6">
        <v>507283</v>
      </c>
    </row>
    <row r="26" spans="1:17" x14ac:dyDescent="0.25">
      <c r="A26" s="144" t="s">
        <v>5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6">
        <v>526922</v>
      </c>
    </row>
    <row r="27" spans="1:17" x14ac:dyDescent="0.25">
      <c r="A27" s="144" t="s">
        <v>87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6">
        <v>527939</v>
      </c>
    </row>
    <row r="28" spans="1:17" x14ac:dyDescent="0.25">
      <c r="A28" s="144" t="s">
        <v>88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6">
        <v>574902</v>
      </c>
    </row>
    <row r="29" spans="1:17" x14ac:dyDescent="0.25">
      <c r="A29" s="144" t="s">
        <v>89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6">
        <v>678536</v>
      </c>
    </row>
    <row r="30" spans="1:17" x14ac:dyDescent="0.25">
      <c r="A30" s="144" t="s">
        <v>90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6"/>
    </row>
    <row r="31" spans="1:17" x14ac:dyDescent="0.25">
      <c r="A31" s="144" t="s">
        <v>91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6"/>
    </row>
    <row r="32" spans="1:17" x14ac:dyDescent="0.25">
      <c r="A32" s="144" t="s">
        <v>92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6"/>
    </row>
    <row r="33" spans="1:15" x14ac:dyDescent="0.25">
      <c r="A33" s="144" t="s">
        <v>93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6"/>
    </row>
    <row r="34" spans="1:15" x14ac:dyDescent="0.25">
      <c r="A34" s="144" t="s">
        <v>94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6"/>
    </row>
    <row r="35" spans="1:15" ht="15.75" thickBot="1" x14ac:dyDescent="0.3">
      <c r="A35" s="147" t="s">
        <v>95</v>
      </c>
      <c r="B35" s="148">
        <f>SUM(B23:B34)</f>
        <v>0</v>
      </c>
      <c r="C35" s="148">
        <f t="shared" ref="C35:O35" si="1">SUM(C23:C34)</f>
        <v>0</v>
      </c>
      <c r="D35" s="148">
        <f t="shared" si="1"/>
        <v>0</v>
      </c>
      <c r="E35" s="148">
        <f t="shared" si="1"/>
        <v>0</v>
      </c>
      <c r="F35" s="148">
        <f t="shared" si="1"/>
        <v>0</v>
      </c>
      <c r="G35" s="148">
        <f t="shared" si="1"/>
        <v>0</v>
      </c>
      <c r="H35" s="148">
        <f t="shared" si="1"/>
        <v>0</v>
      </c>
      <c r="I35" s="148">
        <f t="shared" si="1"/>
        <v>0</v>
      </c>
      <c r="J35" s="148">
        <f>SUM(J23:J34)</f>
        <v>0</v>
      </c>
      <c r="K35" s="148">
        <f t="shared" si="1"/>
        <v>0</v>
      </c>
      <c r="L35" s="148">
        <f t="shared" si="1"/>
        <v>0</v>
      </c>
      <c r="M35" s="148">
        <f t="shared" si="1"/>
        <v>0</v>
      </c>
      <c r="N35" s="148">
        <f t="shared" si="1"/>
        <v>0</v>
      </c>
      <c r="O35" s="149">
        <f t="shared" si="1"/>
        <v>4030924</v>
      </c>
    </row>
    <row r="37" spans="1:15" ht="15.75" thickBot="1" x14ac:dyDescent="0.3"/>
    <row r="38" spans="1:15" ht="16.5" thickBot="1" x14ac:dyDescent="0.3">
      <c r="A38" s="234" t="s">
        <v>152</v>
      </c>
      <c r="B38" s="235"/>
      <c r="C38" s="235"/>
      <c r="D38" s="235"/>
      <c r="E38" s="235"/>
      <c r="F38" s="235"/>
      <c r="G38" s="235"/>
      <c r="H38" s="235"/>
      <c r="I38" s="235"/>
      <c r="J38" s="235"/>
      <c r="K38" s="236"/>
      <c r="L38" s="150"/>
    </row>
    <row r="39" spans="1:15" ht="16.5" thickBot="1" x14ac:dyDescent="0.3">
      <c r="A39" s="234" t="s">
        <v>178</v>
      </c>
      <c r="B39" s="235"/>
      <c r="C39" s="235"/>
      <c r="D39" s="235"/>
      <c r="E39" s="235"/>
      <c r="F39" s="235"/>
      <c r="G39" s="235"/>
      <c r="H39" s="235"/>
      <c r="I39" s="235"/>
      <c r="J39" s="235"/>
      <c r="K39" s="236"/>
      <c r="L39" s="150"/>
    </row>
    <row r="40" spans="1:15" x14ac:dyDescent="0.25">
      <c r="A40" s="237" t="s">
        <v>174</v>
      </c>
      <c r="B40" s="239" t="s">
        <v>179</v>
      </c>
      <c r="C40" s="239"/>
      <c r="D40" s="239"/>
      <c r="E40" s="239"/>
      <c r="F40" s="239"/>
      <c r="G40" s="240" t="s">
        <v>180</v>
      </c>
      <c r="H40" s="241"/>
      <c r="I40" s="241"/>
      <c r="J40" s="241"/>
      <c r="K40" s="242"/>
      <c r="L40" s="151"/>
    </row>
    <row r="41" spans="1:15" ht="15.75" thickBot="1" x14ac:dyDescent="0.3">
      <c r="A41" s="238"/>
      <c r="B41" s="152" t="s">
        <v>181</v>
      </c>
      <c r="C41" s="152" t="s">
        <v>182</v>
      </c>
      <c r="D41" s="152" t="s">
        <v>183</v>
      </c>
      <c r="E41" s="152" t="s">
        <v>184</v>
      </c>
      <c r="F41" s="152" t="s">
        <v>185</v>
      </c>
      <c r="G41" s="152" t="s">
        <v>181</v>
      </c>
      <c r="H41" s="152" t="s">
        <v>182</v>
      </c>
      <c r="I41" s="152" t="s">
        <v>183</v>
      </c>
      <c r="J41" s="152" t="s">
        <v>184</v>
      </c>
      <c r="K41" s="153" t="s">
        <v>185</v>
      </c>
      <c r="L41" s="154"/>
    </row>
    <row r="42" spans="1:15" x14ac:dyDescent="0.25">
      <c r="A42" s="141" t="s">
        <v>2</v>
      </c>
      <c r="B42" s="142">
        <v>421783</v>
      </c>
      <c r="C42" s="142">
        <v>380325</v>
      </c>
      <c r="D42" s="142">
        <v>37024</v>
      </c>
      <c r="E42" s="142">
        <v>12061</v>
      </c>
      <c r="F42" s="142">
        <v>6529</v>
      </c>
      <c r="G42" s="142">
        <v>24773</v>
      </c>
      <c r="H42" s="142">
        <v>16997</v>
      </c>
      <c r="I42" s="142">
        <v>16074</v>
      </c>
      <c r="J42" s="142">
        <v>5075</v>
      </c>
      <c r="K42" s="155">
        <v>2830</v>
      </c>
      <c r="L42" s="156"/>
    </row>
    <row r="43" spans="1:15" x14ac:dyDescent="0.25">
      <c r="A43" s="144" t="s">
        <v>3</v>
      </c>
      <c r="B43" s="145">
        <v>448950</v>
      </c>
      <c r="C43" s="145">
        <v>382957</v>
      </c>
      <c r="D43" s="145">
        <v>39971</v>
      </c>
      <c r="E43" s="145">
        <v>13150</v>
      </c>
      <c r="F43" s="145">
        <v>6563</v>
      </c>
      <c r="G43" s="145">
        <v>36836</v>
      </c>
      <c r="H43" s="145">
        <v>21112</v>
      </c>
      <c r="I43" s="145">
        <v>21122</v>
      </c>
      <c r="J43" s="145">
        <v>6877</v>
      </c>
      <c r="K43" s="157">
        <v>3990</v>
      </c>
      <c r="L43" s="156"/>
    </row>
    <row r="44" spans="1:15" x14ac:dyDescent="0.25">
      <c r="A44" s="144" t="s">
        <v>86</v>
      </c>
      <c r="B44" s="145">
        <v>398222</v>
      </c>
      <c r="C44" s="145">
        <v>355185</v>
      </c>
      <c r="D44" s="145">
        <v>32898</v>
      </c>
      <c r="E44" s="145">
        <v>10862</v>
      </c>
      <c r="F44" s="145">
        <v>5871</v>
      </c>
      <c r="G44" s="145">
        <v>17448</v>
      </c>
      <c r="H44" s="145">
        <v>13816</v>
      </c>
      <c r="I44" s="145">
        <v>14030</v>
      </c>
      <c r="J44" s="145">
        <v>4211</v>
      </c>
      <c r="K44" s="157">
        <v>2313</v>
      </c>
      <c r="L44" s="156"/>
    </row>
    <row r="45" spans="1:15" x14ac:dyDescent="0.25">
      <c r="A45" s="144" t="s">
        <v>5</v>
      </c>
      <c r="B45" s="145">
        <v>442692</v>
      </c>
      <c r="C45" s="145">
        <v>369551</v>
      </c>
      <c r="D45" s="145">
        <v>35214</v>
      </c>
      <c r="E45" s="145">
        <v>11687</v>
      </c>
      <c r="F45" s="145">
        <v>5976</v>
      </c>
      <c r="G45" s="145">
        <v>23436</v>
      </c>
      <c r="H45" s="145">
        <v>15502</v>
      </c>
      <c r="I45" s="145">
        <v>16777</v>
      </c>
      <c r="J45" s="145">
        <v>5059</v>
      </c>
      <c r="K45" s="157">
        <v>2297</v>
      </c>
      <c r="L45" s="156"/>
    </row>
    <row r="46" spans="1:15" x14ac:dyDescent="0.25">
      <c r="A46" s="144" t="s">
        <v>87</v>
      </c>
      <c r="B46" s="145">
        <v>457651</v>
      </c>
      <c r="C46" s="145">
        <v>390076</v>
      </c>
      <c r="D46" s="145">
        <v>37496</v>
      </c>
      <c r="E46" s="145">
        <v>12815</v>
      </c>
      <c r="F46" s="145">
        <v>6506</v>
      </c>
      <c r="G46" s="145">
        <v>24191</v>
      </c>
      <c r="H46" s="145">
        <v>16006</v>
      </c>
      <c r="I46" s="145">
        <v>17700</v>
      </c>
      <c r="J46" s="145">
        <v>5804</v>
      </c>
      <c r="K46" s="157">
        <v>2759</v>
      </c>
      <c r="L46" s="156"/>
    </row>
    <row r="47" spans="1:15" x14ac:dyDescent="0.25">
      <c r="A47" s="144" t="s">
        <v>88</v>
      </c>
      <c r="B47" s="145">
        <v>451121</v>
      </c>
      <c r="C47" s="145">
        <v>394157</v>
      </c>
      <c r="D47" s="145">
        <v>36353</v>
      </c>
      <c r="E47" s="145">
        <v>11819</v>
      </c>
      <c r="F47" s="145">
        <v>6013</v>
      </c>
      <c r="G47" s="145">
        <v>25750</v>
      </c>
      <c r="H47" s="145">
        <v>17584</v>
      </c>
      <c r="I47" s="145">
        <v>16264</v>
      </c>
      <c r="J47" s="145">
        <v>5172</v>
      </c>
      <c r="K47" s="157">
        <v>2173</v>
      </c>
      <c r="L47" s="156"/>
    </row>
    <row r="48" spans="1:15" x14ac:dyDescent="0.25">
      <c r="A48" s="144" t="s">
        <v>89</v>
      </c>
      <c r="B48" s="145">
        <v>492267</v>
      </c>
      <c r="C48" s="145">
        <v>424880</v>
      </c>
      <c r="D48" s="145">
        <v>40977</v>
      </c>
      <c r="E48" s="145">
        <v>14281</v>
      </c>
      <c r="F48" s="145">
        <v>7234</v>
      </c>
      <c r="G48" s="145">
        <v>29332</v>
      </c>
      <c r="H48" s="145">
        <v>19741</v>
      </c>
      <c r="I48" s="145">
        <v>19412</v>
      </c>
      <c r="J48" s="145">
        <v>6617</v>
      </c>
      <c r="K48" s="157">
        <v>3476</v>
      </c>
      <c r="L48" s="156"/>
    </row>
    <row r="49" spans="1:12" x14ac:dyDescent="0.25">
      <c r="A49" s="144" t="s">
        <v>90</v>
      </c>
      <c r="B49" s="145"/>
      <c r="C49" s="145"/>
      <c r="D49" s="145"/>
      <c r="E49" s="145"/>
      <c r="F49" s="145"/>
      <c r="G49" s="145"/>
      <c r="H49" s="145"/>
      <c r="I49" s="145"/>
      <c r="J49" s="145"/>
      <c r="K49" s="157"/>
      <c r="L49" s="156"/>
    </row>
    <row r="50" spans="1:12" x14ac:dyDescent="0.25">
      <c r="A50" s="144" t="s">
        <v>91</v>
      </c>
      <c r="B50" s="145"/>
      <c r="C50" s="145"/>
      <c r="D50" s="145"/>
      <c r="E50" s="145"/>
      <c r="F50" s="145"/>
      <c r="G50" s="145"/>
      <c r="H50" s="145"/>
      <c r="I50" s="145"/>
      <c r="J50" s="145"/>
      <c r="K50" s="157"/>
      <c r="L50" s="156"/>
    </row>
    <row r="51" spans="1:12" x14ac:dyDescent="0.25">
      <c r="A51" s="144" t="s">
        <v>92</v>
      </c>
      <c r="B51" s="145"/>
      <c r="C51" s="145"/>
      <c r="D51" s="145"/>
      <c r="E51" s="145"/>
      <c r="F51" s="145"/>
      <c r="G51" s="145"/>
      <c r="H51" s="145"/>
      <c r="I51" s="145"/>
      <c r="J51" s="145"/>
      <c r="K51" s="157"/>
      <c r="L51" s="156"/>
    </row>
    <row r="52" spans="1:12" x14ac:dyDescent="0.25">
      <c r="A52" s="144" t="s">
        <v>93</v>
      </c>
      <c r="B52" s="145"/>
      <c r="C52" s="145"/>
      <c r="D52" s="145"/>
      <c r="E52" s="145"/>
      <c r="F52" s="145"/>
      <c r="G52" s="145"/>
      <c r="H52" s="145"/>
      <c r="I52" s="145"/>
      <c r="J52" s="145"/>
      <c r="K52" s="157"/>
      <c r="L52" s="156"/>
    </row>
    <row r="53" spans="1:12" x14ac:dyDescent="0.25">
      <c r="A53" s="144" t="s">
        <v>94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57"/>
      <c r="L53" s="156"/>
    </row>
    <row r="54" spans="1:12" ht="15.75" thickBot="1" x14ac:dyDescent="0.3">
      <c r="A54" s="147" t="s">
        <v>95</v>
      </c>
      <c r="B54" s="148">
        <f>SUM(B42:B53)</f>
        <v>3112686</v>
      </c>
      <c r="C54" s="148">
        <f t="shared" ref="C54:K54" si="2">SUM(C42:C53)</f>
        <v>2697131</v>
      </c>
      <c r="D54" s="148">
        <f t="shared" si="2"/>
        <v>259933</v>
      </c>
      <c r="E54" s="148">
        <f t="shared" si="2"/>
        <v>86675</v>
      </c>
      <c r="F54" s="148">
        <f t="shared" si="2"/>
        <v>44692</v>
      </c>
      <c r="G54" s="148">
        <f t="shared" si="2"/>
        <v>181766</v>
      </c>
      <c r="H54" s="148">
        <f t="shared" si="2"/>
        <v>120758</v>
      </c>
      <c r="I54" s="148">
        <f t="shared" si="2"/>
        <v>121379</v>
      </c>
      <c r="J54" s="148">
        <f t="shared" si="2"/>
        <v>38815</v>
      </c>
      <c r="K54" s="149">
        <f t="shared" si="2"/>
        <v>19838</v>
      </c>
      <c r="L54" s="156"/>
    </row>
    <row r="55" spans="1:12" ht="15.75" x14ac:dyDescent="0.25">
      <c r="A55" s="158" t="s">
        <v>186</v>
      </c>
      <c r="B55" s="159"/>
      <c r="C55" s="159"/>
      <c r="D55" s="159"/>
      <c r="E55" s="159"/>
    </row>
  </sheetData>
  <mergeCells count="20">
    <mergeCell ref="M21:M22"/>
    <mergeCell ref="N21:N22"/>
    <mergeCell ref="O21:O22"/>
    <mergeCell ref="A38:K38"/>
    <mergeCell ref="A1:Q1"/>
    <mergeCell ref="A2:Q2"/>
    <mergeCell ref="A19:O19"/>
    <mergeCell ref="A20:O20"/>
    <mergeCell ref="A21:A22"/>
    <mergeCell ref="B21:B22"/>
    <mergeCell ref="C21:C22"/>
    <mergeCell ref="D21:D22"/>
    <mergeCell ref="E21:E22"/>
    <mergeCell ref="F21:F22"/>
    <mergeCell ref="A39:K39"/>
    <mergeCell ref="A40:A41"/>
    <mergeCell ref="B40:F40"/>
    <mergeCell ref="G40:K40"/>
    <mergeCell ref="G21:G22"/>
    <mergeCell ref="I21:I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Museum</vt:lpstr>
      <vt:lpstr>Accidents</vt:lpstr>
      <vt:lpstr>Telecom</vt:lpstr>
      <vt:lpstr>Veterinary</vt:lpstr>
      <vt:lpstr>Immunization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2012-07-31T16:20:47Z</dcterms:modified>
</cp:coreProperties>
</file>