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Accidents" sheetId="1" r:id="rId1"/>
    <sheet name="Immunization" sheetId="4" r:id="rId2"/>
    <sheet name="T.B" sheetId="5" r:id="rId3"/>
    <sheet name="Veterinary" sheetId="6" r:id="rId4"/>
    <sheet name="Telecom" sheetId="7" r:id="rId5"/>
    <sheet name="Museum" sheetId="8" r:id="rId6"/>
  </sheets>
  <calcPr calcId="145621"/>
</workbook>
</file>

<file path=xl/calcChain.xml><?xml version="1.0" encoding="utf-8"?>
<calcChain xmlns="http://schemas.openxmlformats.org/spreadsheetml/2006/main">
  <c r="I7" i="6" l="1"/>
  <c r="H36" i="6"/>
  <c r="G36" i="6"/>
  <c r="F36" i="6"/>
  <c r="E36" i="6"/>
  <c r="D36" i="6"/>
  <c r="C36" i="6"/>
  <c r="H16" i="6"/>
  <c r="G16" i="6"/>
  <c r="F16" i="6"/>
  <c r="E16" i="6"/>
  <c r="D16" i="6"/>
  <c r="C16" i="6"/>
  <c r="I15" i="6"/>
  <c r="I14" i="6"/>
  <c r="I13" i="6"/>
  <c r="I12" i="6"/>
  <c r="I11" i="6"/>
  <c r="I10" i="6"/>
  <c r="I9" i="6"/>
  <c r="I16" i="6" s="1"/>
  <c r="I8" i="6"/>
  <c r="G68" i="5" l="1"/>
  <c r="F68" i="5"/>
  <c r="E68" i="5"/>
  <c r="D68" i="5"/>
  <c r="C68" i="5"/>
  <c r="B68" i="5"/>
  <c r="G50" i="5"/>
  <c r="E50" i="5"/>
  <c r="D50" i="5"/>
  <c r="C50" i="5"/>
  <c r="B50" i="5"/>
  <c r="F49" i="5"/>
  <c r="F48" i="5"/>
  <c r="F47" i="5"/>
  <c r="F46" i="5"/>
  <c r="F50" i="5" s="1"/>
  <c r="F45" i="5"/>
  <c r="F44" i="5"/>
  <c r="F43" i="5"/>
  <c r="G32" i="5"/>
  <c r="E32" i="5"/>
  <c r="D32" i="5"/>
  <c r="C32" i="5"/>
  <c r="B32" i="5"/>
  <c r="F31" i="5"/>
  <c r="F30" i="5"/>
  <c r="F29" i="5"/>
  <c r="F28" i="5"/>
  <c r="F27" i="5"/>
  <c r="F26" i="5"/>
  <c r="F25" i="5"/>
  <c r="F32" i="5" s="1"/>
  <c r="G13" i="5"/>
  <c r="E13" i="5"/>
  <c r="D13" i="5"/>
  <c r="C13" i="5"/>
  <c r="B13" i="5"/>
  <c r="F12" i="5"/>
  <c r="F11" i="5"/>
  <c r="F10" i="5"/>
  <c r="F9" i="5"/>
  <c r="F8" i="5"/>
  <c r="F7" i="5"/>
  <c r="F13" i="5" s="1"/>
  <c r="F6" i="5"/>
  <c r="M162" i="8" l="1"/>
  <c r="L162" i="8"/>
  <c r="L133" i="8" s="1"/>
  <c r="K162" i="8"/>
  <c r="J162" i="8"/>
  <c r="I162" i="8"/>
  <c r="H162" i="8"/>
  <c r="H133" i="8" s="1"/>
  <c r="G162" i="8"/>
  <c r="F162" i="8"/>
  <c r="E162" i="8"/>
  <c r="D162" i="8"/>
  <c r="D133" i="8" s="1"/>
  <c r="C162" i="8"/>
  <c r="B162" i="8"/>
  <c r="M160" i="8"/>
  <c r="K160" i="8"/>
  <c r="I160" i="8"/>
  <c r="G160" i="8"/>
  <c r="E160" i="8"/>
  <c r="C160" i="8"/>
  <c r="M159" i="8"/>
  <c r="K159" i="8"/>
  <c r="I159" i="8"/>
  <c r="G159" i="8"/>
  <c r="E159" i="8"/>
  <c r="C159" i="8"/>
  <c r="M158" i="8"/>
  <c r="K158" i="8"/>
  <c r="I158" i="8"/>
  <c r="G158" i="8"/>
  <c r="E158" i="8"/>
  <c r="C158" i="8"/>
  <c r="M157" i="8"/>
  <c r="M147" i="8" s="1"/>
  <c r="M133" i="8" s="1"/>
  <c r="K157" i="8"/>
  <c r="I157" i="8"/>
  <c r="G157" i="8"/>
  <c r="E157" i="8"/>
  <c r="C157" i="8"/>
  <c r="M156" i="8"/>
  <c r="I156" i="8"/>
  <c r="G156" i="8"/>
  <c r="E156" i="8"/>
  <c r="C156" i="8"/>
  <c r="M155" i="8"/>
  <c r="K155" i="8"/>
  <c r="I155" i="8"/>
  <c r="G155" i="8"/>
  <c r="E155" i="8"/>
  <c r="C155" i="8"/>
  <c r="M154" i="8"/>
  <c r="K154" i="8"/>
  <c r="M153" i="8"/>
  <c r="K153" i="8"/>
  <c r="I153" i="8"/>
  <c r="G153" i="8"/>
  <c r="E153" i="8"/>
  <c r="C153" i="8"/>
  <c r="M152" i="8"/>
  <c r="K152" i="8"/>
  <c r="I152" i="8"/>
  <c r="G152" i="8"/>
  <c r="E152" i="8"/>
  <c r="C152" i="8"/>
  <c r="M151" i="8"/>
  <c r="K151" i="8"/>
  <c r="I151" i="8"/>
  <c r="G151" i="8"/>
  <c r="E151" i="8"/>
  <c r="C151" i="8"/>
  <c r="M150" i="8"/>
  <c r="K150" i="8"/>
  <c r="I150" i="8"/>
  <c r="G150" i="8"/>
  <c r="G147" i="8" s="1"/>
  <c r="G133" i="8" s="1"/>
  <c r="E150" i="8"/>
  <c r="C150" i="8"/>
  <c r="M149" i="8"/>
  <c r="K149" i="8"/>
  <c r="E149" i="8"/>
  <c r="C149" i="8"/>
  <c r="M148" i="8"/>
  <c r="K148" i="8"/>
  <c r="K147" i="8" s="1"/>
  <c r="K133" i="8" s="1"/>
  <c r="I148" i="8"/>
  <c r="G148" i="8"/>
  <c r="E148" i="8"/>
  <c r="C148" i="8"/>
  <c r="C147" i="8" s="1"/>
  <c r="L147" i="8"/>
  <c r="J147" i="8"/>
  <c r="I147" i="8"/>
  <c r="H147" i="8"/>
  <c r="F147" i="8"/>
  <c r="E147" i="8"/>
  <c r="D147" i="8"/>
  <c r="B147" i="8"/>
  <c r="M146" i="8"/>
  <c r="K146" i="8"/>
  <c r="I146" i="8"/>
  <c r="E146" i="8"/>
  <c r="E142" i="8" s="1"/>
  <c r="E133" i="8" s="1"/>
  <c r="C146" i="8"/>
  <c r="M143" i="8"/>
  <c r="E143" i="8"/>
  <c r="C143" i="8"/>
  <c r="C142" i="8" s="1"/>
  <c r="C133" i="8" s="1"/>
  <c r="M142" i="8"/>
  <c r="L142" i="8"/>
  <c r="K142" i="8"/>
  <c r="J142" i="8"/>
  <c r="I142" i="8"/>
  <c r="H142" i="8"/>
  <c r="G142" i="8"/>
  <c r="F142" i="8"/>
  <c r="D142" i="8"/>
  <c r="B142" i="8"/>
  <c r="M134" i="8"/>
  <c r="L134" i="8"/>
  <c r="K134" i="8"/>
  <c r="J134" i="8"/>
  <c r="I134" i="8"/>
  <c r="H134" i="8"/>
  <c r="G134" i="8"/>
  <c r="F134" i="8"/>
  <c r="E134" i="8"/>
  <c r="D134" i="8"/>
  <c r="C134" i="8"/>
  <c r="B134" i="8"/>
  <c r="J133" i="8"/>
  <c r="I133" i="8"/>
  <c r="F133" i="8"/>
  <c r="B133" i="8"/>
  <c r="M123" i="8"/>
  <c r="L123" i="8"/>
  <c r="K123" i="8"/>
  <c r="J123" i="8"/>
  <c r="I123" i="8"/>
  <c r="H123" i="8"/>
  <c r="G123" i="8"/>
  <c r="F123" i="8"/>
  <c r="E123" i="8"/>
  <c r="D123" i="8"/>
  <c r="C123" i="8"/>
  <c r="B123" i="8"/>
  <c r="M121" i="8"/>
  <c r="K121" i="8"/>
  <c r="I121" i="8"/>
  <c r="G121" i="8"/>
  <c r="E121" i="8"/>
  <c r="C121" i="8"/>
  <c r="M120" i="8"/>
  <c r="K120" i="8"/>
  <c r="I120" i="8"/>
  <c r="G120" i="8"/>
  <c r="E120" i="8"/>
  <c r="M119" i="8"/>
  <c r="K119" i="8"/>
  <c r="I119" i="8"/>
  <c r="G119" i="8"/>
  <c r="E119" i="8"/>
  <c r="C119" i="8"/>
  <c r="K118" i="8"/>
  <c r="I118" i="8"/>
  <c r="G118" i="8"/>
  <c r="E118" i="8"/>
  <c r="C118" i="8"/>
  <c r="M117" i="8"/>
  <c r="K117" i="8"/>
  <c r="I117" i="8"/>
  <c r="G117" i="8"/>
  <c r="M116" i="8"/>
  <c r="G116" i="8"/>
  <c r="E116" i="8"/>
  <c r="C115" i="8"/>
  <c r="M114" i="8"/>
  <c r="K114" i="8"/>
  <c r="I114" i="8"/>
  <c r="G114" i="8"/>
  <c r="E114" i="8"/>
  <c r="M113" i="8"/>
  <c r="K113" i="8"/>
  <c r="I113" i="8"/>
  <c r="G113" i="8"/>
  <c r="E113" i="8"/>
  <c r="C113" i="8"/>
  <c r="M112" i="8"/>
  <c r="K112" i="8"/>
  <c r="I112" i="8"/>
  <c r="I108" i="8" s="1"/>
  <c r="G112" i="8"/>
  <c r="E112" i="8"/>
  <c r="C112" i="8"/>
  <c r="M111" i="8"/>
  <c r="K111" i="8"/>
  <c r="I111" i="8"/>
  <c r="G111" i="8"/>
  <c r="E111" i="8"/>
  <c r="C111" i="8"/>
  <c r="M110" i="8"/>
  <c r="K110" i="8"/>
  <c r="H110" i="8"/>
  <c r="H108" i="8" s="1"/>
  <c r="H94" i="8" s="1"/>
  <c r="G110" i="8"/>
  <c r="E110" i="8"/>
  <c r="C110" i="8"/>
  <c r="M109" i="8"/>
  <c r="M108" i="8" s="1"/>
  <c r="K109" i="8"/>
  <c r="I109" i="8"/>
  <c r="G109" i="8"/>
  <c r="E109" i="8"/>
  <c r="E108" i="8" s="1"/>
  <c r="C109" i="8"/>
  <c r="L108" i="8"/>
  <c r="K108" i="8"/>
  <c r="J108" i="8"/>
  <c r="G108" i="8"/>
  <c r="F108" i="8"/>
  <c r="D108" i="8"/>
  <c r="C108" i="8"/>
  <c r="B108" i="8"/>
  <c r="M107" i="8"/>
  <c r="K107" i="8"/>
  <c r="I107" i="8"/>
  <c r="G107" i="8"/>
  <c r="F107" i="8"/>
  <c r="E107" i="8"/>
  <c r="C107" i="8"/>
  <c r="M104" i="8"/>
  <c r="M103" i="8" s="1"/>
  <c r="M94" i="8" s="1"/>
  <c r="K104" i="8"/>
  <c r="I104" i="8"/>
  <c r="I103" i="8" s="1"/>
  <c r="E104" i="8"/>
  <c r="E103" i="8" s="1"/>
  <c r="E94" i="8" s="1"/>
  <c r="C104" i="8"/>
  <c r="L103" i="8"/>
  <c r="K103" i="8"/>
  <c r="J103" i="8"/>
  <c r="H103" i="8"/>
  <c r="G103" i="8"/>
  <c r="F103" i="8"/>
  <c r="D103" i="8"/>
  <c r="C103" i="8"/>
  <c r="B103" i="8"/>
  <c r="M95" i="8"/>
  <c r="L95" i="8"/>
  <c r="K95" i="8"/>
  <c r="J95" i="8"/>
  <c r="I95" i="8"/>
  <c r="H95" i="8"/>
  <c r="G95" i="8"/>
  <c r="F95" i="8"/>
  <c r="E95" i="8"/>
  <c r="D95" i="8"/>
  <c r="C95" i="8"/>
  <c r="B95" i="8"/>
  <c r="L94" i="8"/>
  <c r="K94" i="8"/>
  <c r="J94" i="8"/>
  <c r="G94" i="8"/>
  <c r="F94" i="8"/>
  <c r="D94" i="8"/>
  <c r="C94" i="8"/>
  <c r="B94" i="8"/>
  <c r="M84" i="8"/>
  <c r="L84" i="8"/>
  <c r="K84" i="8"/>
  <c r="J84" i="8"/>
  <c r="I84" i="8"/>
  <c r="H84" i="8"/>
  <c r="G84" i="8"/>
  <c r="F84" i="8"/>
  <c r="E84" i="8"/>
  <c r="D84" i="8"/>
  <c r="C84" i="8"/>
  <c r="B84" i="8"/>
  <c r="M83" i="8"/>
  <c r="K83" i="8"/>
  <c r="I83" i="8"/>
  <c r="G83" i="8"/>
  <c r="E83" i="8"/>
  <c r="C83" i="8"/>
  <c r="M81" i="8"/>
  <c r="M73" i="8" s="1"/>
  <c r="K81" i="8"/>
  <c r="I81" i="8"/>
  <c r="G81" i="8"/>
  <c r="E81" i="8"/>
  <c r="E73" i="8" s="1"/>
  <c r="C81" i="8"/>
  <c r="M80" i="8"/>
  <c r="K80" i="8"/>
  <c r="I80" i="8"/>
  <c r="I73" i="8" s="1"/>
  <c r="E80" i="8"/>
  <c r="C80" i="8"/>
  <c r="M79" i="8"/>
  <c r="K79" i="8"/>
  <c r="I79" i="8"/>
  <c r="G79" i="8"/>
  <c r="E79" i="8"/>
  <c r="C79" i="8"/>
  <c r="M78" i="8"/>
  <c r="K78" i="8"/>
  <c r="I78" i="8"/>
  <c r="G78" i="8"/>
  <c r="E78" i="8"/>
  <c r="C78" i="8"/>
  <c r="M76" i="8"/>
  <c r="K76" i="8"/>
  <c r="I76" i="8"/>
  <c r="G76" i="8"/>
  <c r="E76" i="8"/>
  <c r="C76" i="8"/>
  <c r="M75" i="8"/>
  <c r="K75" i="8"/>
  <c r="I75" i="8"/>
  <c r="G75" i="8"/>
  <c r="G73" i="8" s="1"/>
  <c r="E75" i="8"/>
  <c r="C75" i="8"/>
  <c r="M74" i="8"/>
  <c r="K74" i="8"/>
  <c r="K73" i="8" s="1"/>
  <c r="I74" i="8"/>
  <c r="G74" i="8"/>
  <c r="E74" i="8"/>
  <c r="C74" i="8"/>
  <c r="C73" i="8" s="1"/>
  <c r="L73" i="8"/>
  <c r="J73" i="8"/>
  <c r="H73" i="8"/>
  <c r="F73" i="8"/>
  <c r="D73" i="8"/>
  <c r="B73" i="8"/>
  <c r="M70" i="8"/>
  <c r="K70" i="8"/>
  <c r="I70" i="8"/>
  <c r="I65" i="8" s="1"/>
  <c r="I51" i="8" s="1"/>
  <c r="E70" i="8"/>
  <c r="C70" i="8"/>
  <c r="M68" i="8"/>
  <c r="E68" i="8"/>
  <c r="C68" i="8"/>
  <c r="K67" i="8"/>
  <c r="I67" i="8"/>
  <c r="G67" i="8"/>
  <c r="M66" i="8"/>
  <c r="M65" i="8" s="1"/>
  <c r="K66" i="8"/>
  <c r="I66" i="8"/>
  <c r="G66" i="8"/>
  <c r="E66" i="8"/>
  <c r="E65" i="8" s="1"/>
  <c r="C66" i="8"/>
  <c r="L65" i="8"/>
  <c r="K65" i="8"/>
  <c r="J65" i="8"/>
  <c r="H65" i="8"/>
  <c r="G65" i="8"/>
  <c r="F65" i="8"/>
  <c r="D65" i="8"/>
  <c r="C65" i="8"/>
  <c r="B65" i="8"/>
  <c r="M57" i="8"/>
  <c r="L57" i="8"/>
  <c r="K57" i="8"/>
  <c r="J57" i="8"/>
  <c r="J51" i="8" s="1"/>
  <c r="I57" i="8"/>
  <c r="H57" i="8"/>
  <c r="G57" i="8"/>
  <c r="F57" i="8"/>
  <c r="F51" i="8" s="1"/>
  <c r="E57" i="8"/>
  <c r="D57" i="8"/>
  <c r="C57" i="8"/>
  <c r="B57" i="8"/>
  <c r="B51" i="8" s="1"/>
  <c r="M55" i="8"/>
  <c r="K55" i="8"/>
  <c r="K52" i="8" s="1"/>
  <c r="I55" i="8"/>
  <c r="G55" i="8"/>
  <c r="G52" i="8" s="1"/>
  <c r="G51" i="8" s="1"/>
  <c r="E55" i="8"/>
  <c r="C55" i="8"/>
  <c r="C52" i="8" s="1"/>
  <c r="M54" i="8"/>
  <c r="L54" i="8"/>
  <c r="K54" i="8"/>
  <c r="J54" i="8"/>
  <c r="I54" i="8"/>
  <c r="H54" i="8"/>
  <c r="G54" i="8"/>
  <c r="F54" i="8"/>
  <c r="E54" i="8"/>
  <c r="D54" i="8"/>
  <c r="C54" i="8"/>
  <c r="B54" i="8"/>
  <c r="M52" i="8"/>
  <c r="L52" i="8"/>
  <c r="J52" i="8"/>
  <c r="I52" i="8"/>
  <c r="H52" i="8"/>
  <c r="F52" i="8"/>
  <c r="E52" i="8"/>
  <c r="D52" i="8"/>
  <c r="B52" i="8"/>
  <c r="L51" i="8"/>
  <c r="H51" i="8"/>
  <c r="D51" i="8"/>
  <c r="M38" i="8"/>
  <c r="L38" i="8"/>
  <c r="K38" i="8"/>
  <c r="J38" i="8"/>
  <c r="I38" i="8"/>
  <c r="H38" i="8"/>
  <c r="G38" i="8"/>
  <c r="F38" i="8"/>
  <c r="E38" i="8"/>
  <c r="D38" i="8"/>
  <c r="C38" i="8"/>
  <c r="B38" i="8"/>
  <c r="M37" i="8"/>
  <c r="K37" i="8"/>
  <c r="I37" i="8"/>
  <c r="G37" i="8"/>
  <c r="E37" i="8"/>
  <c r="C37" i="8"/>
  <c r="M35" i="8"/>
  <c r="K35" i="8"/>
  <c r="I35" i="8"/>
  <c r="G35" i="8"/>
  <c r="E35" i="8"/>
  <c r="C35" i="8"/>
  <c r="M34" i="8"/>
  <c r="K34" i="8"/>
  <c r="I34" i="8"/>
  <c r="G34" i="8"/>
  <c r="E34" i="8"/>
  <c r="C34" i="8"/>
  <c r="M33" i="8"/>
  <c r="K33" i="8"/>
  <c r="I33" i="8"/>
  <c r="G33" i="8"/>
  <c r="E33" i="8"/>
  <c r="C33" i="8"/>
  <c r="M32" i="8"/>
  <c r="K32" i="8"/>
  <c r="I32" i="8"/>
  <c r="G32" i="8"/>
  <c r="E32" i="8"/>
  <c r="C32" i="8"/>
  <c r="M30" i="8"/>
  <c r="K30" i="8"/>
  <c r="G30" i="8"/>
  <c r="E30" i="8"/>
  <c r="C30" i="8"/>
  <c r="M29" i="8"/>
  <c r="K29" i="8"/>
  <c r="K27" i="8" s="1"/>
  <c r="I29" i="8"/>
  <c r="I27" i="8" s="1"/>
  <c r="G29" i="8"/>
  <c r="E29" i="8"/>
  <c r="C29" i="8"/>
  <c r="M28" i="8"/>
  <c r="M27" i="8" s="1"/>
  <c r="K28" i="8"/>
  <c r="I28" i="8"/>
  <c r="G28" i="8"/>
  <c r="G27" i="8" s="1"/>
  <c r="G5" i="8" s="1"/>
  <c r="E28" i="8"/>
  <c r="E27" i="8" s="1"/>
  <c r="C28" i="8"/>
  <c r="L27" i="8"/>
  <c r="J27" i="8"/>
  <c r="H27" i="8"/>
  <c r="F27" i="8"/>
  <c r="D27" i="8"/>
  <c r="D5" i="8" s="1"/>
  <c r="C27" i="8"/>
  <c r="B27" i="8"/>
  <c r="M24" i="8"/>
  <c r="K24" i="8"/>
  <c r="I24" i="8"/>
  <c r="G24" i="8"/>
  <c r="F24" i="8"/>
  <c r="E24" i="8"/>
  <c r="C24" i="8"/>
  <c r="M22" i="8"/>
  <c r="K22" i="8"/>
  <c r="I22" i="8"/>
  <c r="E22" i="8"/>
  <c r="C22" i="8"/>
  <c r="M21" i="8"/>
  <c r="K21" i="8"/>
  <c r="I21" i="8"/>
  <c r="G21" i="8"/>
  <c r="M20" i="8"/>
  <c r="K20" i="8"/>
  <c r="K19" i="8" s="1"/>
  <c r="I20" i="8"/>
  <c r="G20" i="8"/>
  <c r="E20" i="8"/>
  <c r="C20" i="8"/>
  <c r="C19" i="8" s="1"/>
  <c r="C5" i="8" s="1"/>
  <c r="M19" i="8"/>
  <c r="L19" i="8"/>
  <c r="J19" i="8"/>
  <c r="I19" i="8"/>
  <c r="H19" i="8"/>
  <c r="G19" i="8"/>
  <c r="F19" i="8"/>
  <c r="E19" i="8"/>
  <c r="D19" i="8"/>
  <c r="B19" i="8"/>
  <c r="M11" i="8"/>
  <c r="L11" i="8"/>
  <c r="K11" i="8"/>
  <c r="J11" i="8"/>
  <c r="I11" i="8"/>
  <c r="H11" i="8"/>
  <c r="G11" i="8"/>
  <c r="F11" i="8"/>
  <c r="E11" i="8"/>
  <c r="E5" i="8" s="1"/>
  <c r="D11" i="8"/>
  <c r="C11" i="8"/>
  <c r="B11" i="8"/>
  <c r="M9" i="8"/>
  <c r="K9" i="8"/>
  <c r="I9" i="8"/>
  <c r="M8" i="8"/>
  <c r="M6" i="8" s="1"/>
  <c r="M5" i="8" s="1"/>
  <c r="L8" i="8"/>
  <c r="L6" i="8" s="1"/>
  <c r="L5" i="8" s="1"/>
  <c r="K8" i="8"/>
  <c r="J8" i="8"/>
  <c r="I8" i="8"/>
  <c r="I6" i="8" s="1"/>
  <c r="I5" i="8" s="1"/>
  <c r="H8" i="8"/>
  <c r="H6" i="8" s="1"/>
  <c r="H5" i="8" s="1"/>
  <c r="K6" i="8"/>
  <c r="J6" i="8"/>
  <c r="G6" i="8"/>
  <c r="F6" i="8"/>
  <c r="E6" i="8"/>
  <c r="D6" i="8"/>
  <c r="C6" i="8"/>
  <c r="B6" i="8"/>
  <c r="B5" i="8" s="1"/>
  <c r="J5" i="8"/>
  <c r="F5" i="8"/>
  <c r="K5" i="8" l="1"/>
  <c r="C51" i="8"/>
  <c r="K51" i="8"/>
  <c r="E51" i="8"/>
  <c r="M51" i="8"/>
  <c r="I94" i="8"/>
  <c r="E72" i="1" l="1"/>
  <c r="E67" i="1"/>
  <c r="F65" i="1"/>
  <c r="E63" i="1"/>
  <c r="F61" i="1"/>
  <c r="E61" i="1"/>
  <c r="F44" i="1"/>
  <c r="E44" i="1"/>
  <c r="F43" i="1"/>
  <c r="E43" i="1"/>
  <c r="F42" i="1"/>
  <c r="E42" i="1"/>
  <c r="F41" i="1"/>
  <c r="E40" i="1"/>
  <c r="F39" i="1"/>
  <c r="E38" i="1"/>
  <c r="F37" i="1"/>
  <c r="E37" i="1"/>
  <c r="F36" i="1"/>
  <c r="E36" i="1"/>
  <c r="E35" i="1"/>
  <c r="F34" i="1"/>
  <c r="F33" i="1"/>
  <c r="E33" i="1"/>
  <c r="F12" i="1"/>
  <c r="F11" i="1"/>
  <c r="F5" i="1"/>
  <c r="G18" i="7" l="1"/>
  <c r="F18" i="7"/>
  <c r="E18" i="7"/>
  <c r="D18" i="7"/>
  <c r="C18" i="7"/>
  <c r="B17" i="7"/>
  <c r="B16" i="7"/>
  <c r="B15" i="7"/>
  <c r="B14" i="7"/>
  <c r="B13" i="7"/>
  <c r="B12" i="7"/>
  <c r="B11" i="7"/>
  <c r="B10" i="7"/>
  <c r="B9" i="7"/>
  <c r="B8" i="7"/>
  <c r="B7" i="7"/>
  <c r="B6" i="7"/>
  <c r="B18" i="7" l="1"/>
  <c r="K54" i="4" l="1"/>
  <c r="J54" i="4"/>
  <c r="I54" i="4"/>
  <c r="H54" i="4"/>
  <c r="G54" i="4"/>
  <c r="F54" i="4"/>
  <c r="E54" i="4"/>
  <c r="D54" i="4"/>
  <c r="C54" i="4"/>
  <c r="B54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G86" i="1" l="1"/>
  <c r="F86" i="1"/>
  <c r="E86" i="1"/>
  <c r="D86" i="1"/>
  <c r="C86" i="1"/>
  <c r="G85" i="1"/>
  <c r="F85" i="1"/>
  <c r="E85" i="1"/>
  <c r="D85" i="1"/>
  <c r="C85" i="1"/>
  <c r="G84" i="1"/>
  <c r="D84" i="1"/>
  <c r="C84" i="1"/>
  <c r="G83" i="1"/>
  <c r="E83" i="1"/>
  <c r="D83" i="1"/>
  <c r="C83" i="1"/>
  <c r="G82" i="1"/>
  <c r="D82" i="1"/>
  <c r="C82" i="1"/>
  <c r="G81" i="1"/>
  <c r="D81" i="1"/>
  <c r="C81" i="1"/>
  <c r="G80" i="1"/>
  <c r="F80" i="1"/>
  <c r="D80" i="1"/>
  <c r="C80" i="1"/>
  <c r="G79" i="1"/>
  <c r="E79" i="1"/>
  <c r="D79" i="1"/>
  <c r="C79" i="1"/>
  <c r="G78" i="1"/>
  <c r="D78" i="1"/>
  <c r="C78" i="1"/>
  <c r="G77" i="1"/>
  <c r="F77" i="1"/>
  <c r="E77" i="1"/>
  <c r="D77" i="1"/>
  <c r="C77" i="1"/>
  <c r="G76" i="1"/>
  <c r="E76" i="1"/>
  <c r="D76" i="1"/>
  <c r="C76" i="1"/>
  <c r="G75" i="1"/>
  <c r="E75" i="1"/>
  <c r="D75" i="1"/>
  <c r="C75" i="1"/>
  <c r="G73" i="1"/>
  <c r="D73" i="1"/>
  <c r="C73" i="1"/>
  <c r="B73" i="1" s="1"/>
  <c r="B72" i="1"/>
  <c r="B71" i="1"/>
  <c r="B70" i="1"/>
  <c r="B69" i="1"/>
  <c r="B68" i="1"/>
  <c r="E81" i="1"/>
  <c r="B67" i="1"/>
  <c r="B66" i="1"/>
  <c r="B65" i="1"/>
  <c r="B64" i="1"/>
  <c r="B63" i="1"/>
  <c r="B62" i="1"/>
  <c r="F75" i="1"/>
  <c r="B61" i="1"/>
  <c r="G59" i="1"/>
  <c r="F59" i="1"/>
  <c r="E59" i="1"/>
  <c r="D59" i="1"/>
  <c r="C59" i="1"/>
  <c r="B59" i="1" s="1"/>
  <c r="B58" i="1"/>
  <c r="B57" i="1"/>
  <c r="B56" i="1"/>
  <c r="B55" i="1"/>
  <c r="B54" i="1"/>
  <c r="B53" i="1"/>
  <c r="B52" i="1"/>
  <c r="B51" i="1"/>
  <c r="B50" i="1"/>
  <c r="B49" i="1"/>
  <c r="B48" i="1"/>
  <c r="B47" i="1"/>
  <c r="G45" i="1"/>
  <c r="D45" i="1"/>
  <c r="B45" i="1" s="1"/>
  <c r="C45" i="1"/>
  <c r="B44" i="1"/>
  <c r="B43" i="1"/>
  <c r="F84" i="1"/>
  <c r="E84" i="1"/>
  <c r="B42" i="1"/>
  <c r="F83" i="1"/>
  <c r="B41" i="1"/>
  <c r="E82" i="1"/>
  <c r="B40" i="1"/>
  <c r="B39" i="1"/>
  <c r="E80" i="1"/>
  <c r="B38" i="1"/>
  <c r="F79" i="1"/>
  <c r="B37" i="1"/>
  <c r="F78" i="1"/>
  <c r="E78" i="1"/>
  <c r="B36" i="1"/>
  <c r="B35" i="1"/>
  <c r="F76" i="1"/>
  <c r="B34" i="1"/>
  <c r="F45" i="1"/>
  <c r="E45" i="1"/>
  <c r="B33" i="1"/>
  <c r="G31" i="1"/>
  <c r="F31" i="1"/>
  <c r="E31" i="1"/>
  <c r="D31" i="1"/>
  <c r="B31" i="1" s="1"/>
  <c r="C31" i="1"/>
  <c r="B30" i="1"/>
  <c r="B29" i="1"/>
  <c r="B28" i="1"/>
  <c r="B27" i="1"/>
  <c r="B26" i="1"/>
  <c r="B25" i="1"/>
  <c r="B24" i="1"/>
  <c r="B23" i="1"/>
  <c r="B22" i="1"/>
  <c r="B21" i="1"/>
  <c r="B20" i="1"/>
  <c r="B19" i="1"/>
  <c r="G17" i="1"/>
  <c r="G87" i="1" s="1"/>
  <c r="F17" i="1"/>
  <c r="E17" i="1"/>
  <c r="D17" i="1"/>
  <c r="D87" i="1" s="1"/>
  <c r="C17" i="1"/>
  <c r="C87" i="1" s="1"/>
  <c r="B16" i="1"/>
  <c r="B86" i="1" s="1"/>
  <c r="B15" i="1"/>
  <c r="B85" i="1" s="1"/>
  <c r="B14" i="1"/>
  <c r="B84" i="1" s="1"/>
  <c r="B13" i="1"/>
  <c r="B83" i="1" s="1"/>
  <c r="F82" i="1"/>
  <c r="B12" i="1"/>
  <c r="B82" i="1" s="1"/>
  <c r="F81" i="1"/>
  <c r="B11" i="1"/>
  <c r="B81" i="1" s="1"/>
  <c r="B10" i="1"/>
  <c r="B80" i="1" s="1"/>
  <c r="B9" i="1"/>
  <c r="B79" i="1" s="1"/>
  <c r="B8" i="1"/>
  <c r="B78" i="1" s="1"/>
  <c r="B7" i="1"/>
  <c r="B77" i="1" s="1"/>
  <c r="B6" i="1"/>
  <c r="B76" i="1" s="1"/>
  <c r="B5" i="1"/>
  <c r="B75" i="1" s="1"/>
  <c r="B17" i="1" l="1"/>
  <c r="B87" i="1"/>
  <c r="F87" i="1"/>
  <c r="E87" i="1"/>
  <c r="E73" i="1"/>
  <c r="F73" i="1"/>
</calcChain>
</file>

<file path=xl/sharedStrings.xml><?xml version="1.0" encoding="utf-8"?>
<sst xmlns="http://schemas.openxmlformats.org/spreadsheetml/2006/main" count="665" uniqueCount="207">
  <si>
    <t>TUBERCULOSIS   REPORT (FTI)</t>
  </si>
  <si>
    <r>
      <t>Period: 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  Quarter, 2024</t>
    </r>
  </si>
  <si>
    <t>Provinces/Regions</t>
  </si>
  <si>
    <t>TB Cases B+ (N+R+UK)</t>
  </si>
  <si>
    <t>CNR B+</t>
  </si>
  <si>
    <t>TB All Types</t>
  </si>
  <si>
    <t>CDR Total All Form (N+R+UK)</t>
  </si>
  <si>
    <t>% Treatment Success Rate* (TSR)</t>
  </si>
  <si>
    <t>Male</t>
  </si>
  <si>
    <t>Female</t>
  </si>
  <si>
    <t>Total</t>
  </si>
  <si>
    <t>AJK</t>
  </si>
  <si>
    <t>Balochistan</t>
  </si>
  <si>
    <t>Gilgit Baltistan</t>
  </si>
  <si>
    <t>ICT</t>
  </si>
  <si>
    <t>KP F.A.T.A</t>
  </si>
  <si>
    <t>Punjab</t>
  </si>
  <si>
    <t>Sindh</t>
  </si>
  <si>
    <t>Pakistan</t>
  </si>
  <si>
    <r>
      <t>CDR</t>
    </r>
    <r>
      <rPr>
        <b/>
        <sz val="9"/>
        <color theme="1"/>
        <rFont val="Times New Roman"/>
        <family val="1"/>
      </rPr>
      <t xml:space="preserve"> : </t>
    </r>
    <r>
      <rPr>
        <sz val="9"/>
        <color theme="1"/>
        <rFont val="Times New Roman"/>
        <family val="1"/>
      </rPr>
      <t>Case Deduction Rate</t>
    </r>
    <r>
      <rPr>
        <b/>
        <sz val="9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                                                                                 </t>
    </r>
    <r>
      <rPr>
        <sz val="10"/>
        <color theme="1"/>
        <rFont val="Times New Roman"/>
        <family val="1"/>
      </rPr>
      <t xml:space="preserve">Source: National TB Control Programme </t>
    </r>
  </si>
  <si>
    <r>
      <t>B+     Bacteriologically positive</t>
    </r>
    <r>
      <rPr>
        <sz val="10"/>
        <color theme="1"/>
        <rFont val="Times New Roman"/>
        <family val="1"/>
      </rPr>
      <t xml:space="preserve">    </t>
    </r>
    <r>
      <rPr>
        <sz val="9"/>
        <color theme="1"/>
        <rFont val="Times New Roman"/>
        <family val="1"/>
      </rPr>
      <t>N+ (New case) NIH Islamabad</t>
    </r>
  </si>
  <si>
    <t xml:space="preserve">R:       Relapse Cases             *Available One Year Lag  </t>
  </si>
  <si>
    <t>Period: 2nd Quarter, 2024</t>
  </si>
  <si>
    <t>CNR</t>
  </si>
  <si>
    <t>B+</t>
  </si>
  <si>
    <t>Period: 3rd Quarter, 2024</t>
  </si>
  <si>
    <t>Data on Traffic accidents 2024</t>
  </si>
  <si>
    <t>Year/Month</t>
  </si>
  <si>
    <t>Total Number 
of Accidents</t>
  </si>
  <si>
    <t>Accident</t>
  </si>
  <si>
    <t>Persons</t>
  </si>
  <si>
    <t>Total Number 
of Vehicles Involved</t>
  </si>
  <si>
    <t>Fatal</t>
  </si>
  <si>
    <t>Non - Fatal</t>
  </si>
  <si>
    <t>Killed</t>
  </si>
  <si>
    <t>Injured</t>
  </si>
  <si>
    <t>Islamabad</t>
  </si>
  <si>
    <t>January</t>
  </si>
  <si>
    <t>Feburary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</si>
  <si>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</si>
  <si>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</si>
  <si>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</si>
  <si>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</si>
  <si>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</si>
  <si>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</si>
  <si>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</si>
  <si>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</si>
  <si>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</si>
  <si>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</si>
  <si>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KP</t>
  </si>
  <si>
    <t>Monthly Immunization Coverage during 2024</t>
  </si>
  <si>
    <t>Number of doses administered ( 0-11 months )children during 2024</t>
  </si>
  <si>
    <t>MONTH(s)</t>
  </si>
  <si>
    <t>BCG</t>
  </si>
  <si>
    <t>OPV-0</t>
  </si>
  <si>
    <t>OPV-1</t>
  </si>
  <si>
    <t>OPV-2</t>
  </si>
  <si>
    <t>OPV-3</t>
  </si>
  <si>
    <t>IPV</t>
  </si>
  <si>
    <t>Penta-valent-1</t>
  </si>
  <si>
    <t>Penta-valent-2</t>
  </si>
  <si>
    <t>Pentav-alent-3</t>
  </si>
  <si>
    <t>Pneumo-1</t>
  </si>
  <si>
    <t>Pneumo-2</t>
  </si>
  <si>
    <t>Pneumo-3</t>
  </si>
  <si>
    <t>Rota-1</t>
  </si>
  <si>
    <t>Rota-2</t>
  </si>
  <si>
    <t>Measles-1</t>
  </si>
  <si>
    <t>February</t>
  </si>
  <si>
    <t>IPV:Inative Polio Vaccine</t>
  </si>
  <si>
    <t>Contd.</t>
  </si>
  <si>
    <t>Number of doses administered (12-23 Months ) children during 2024</t>
  </si>
  <si>
    <t>MONTH</t>
  </si>
  <si>
    <t>Pentav-alent-2</t>
  </si>
  <si>
    <t>Pneumo</t>
  </si>
  <si>
    <t>Measles-2</t>
  </si>
  <si>
    <t>Number of TT doses administered to  women during 2024</t>
  </si>
  <si>
    <t>Pregnant Women</t>
  </si>
  <si>
    <t>Childbearing age women</t>
  </si>
  <si>
    <t>TT1</t>
  </si>
  <si>
    <t>TT2</t>
  </si>
  <si>
    <t>TT3</t>
  </si>
  <si>
    <t>TT4</t>
  </si>
  <si>
    <t>TT5</t>
  </si>
  <si>
    <t>Source :- Federal EPI/CDD Cell, NIH, Islamabad</t>
  </si>
  <si>
    <t>Visitors at Archaeological Museums in Pakistan During January-December, 2024</t>
  </si>
  <si>
    <t>Area/ attraction</t>
  </si>
  <si>
    <t xml:space="preserve"> March</t>
  </si>
  <si>
    <t>Foreigner</t>
  </si>
  <si>
    <t>National</t>
  </si>
  <si>
    <t>PAKISTAN</t>
  </si>
  <si>
    <t>ISLAMABAD</t>
  </si>
  <si>
    <t>Pakistan Museum of Natural History</t>
  </si>
  <si>
    <t>Lok Virsa Heritage Museum</t>
  </si>
  <si>
    <t>Pakistan Monument Museum</t>
  </si>
  <si>
    <t>Pakistan Railway Heritage Museum</t>
  </si>
  <si>
    <t>PUNJAB</t>
  </si>
  <si>
    <t>Lahore Museum Lahore</t>
  </si>
  <si>
    <t>Allama Iqbal Library &amp; Museum, Sialkot.</t>
  </si>
  <si>
    <t>Lahore Fort (walled city)</t>
  </si>
  <si>
    <t>Museum, Taxila, Rawalpindi</t>
  </si>
  <si>
    <t>Museum, Harappa, District Sahiwal.</t>
  </si>
  <si>
    <t>Allama Iqbal Museum, Javaid Manzil, Lahore</t>
  </si>
  <si>
    <t>PMDC Khewara Mines Museum, Chakwal</t>
  </si>
  <si>
    <t>SINDH</t>
  </si>
  <si>
    <t>National Museum of Pakistan, Karachi</t>
  </si>
  <si>
    <t>Sindh Provincial Museum, Hyderabad.</t>
  </si>
  <si>
    <t>Museum, Bhambore, District Thatta.</t>
  </si>
  <si>
    <t>Museum,Monjodaro, Distric Larkana.</t>
  </si>
  <si>
    <t>Museum Umerkot, District Tharparkar.</t>
  </si>
  <si>
    <t>Quid-e-Azam Birth Place, Karachi.</t>
  </si>
  <si>
    <t>Quid-e-Azam  House Muesum, Karachi.</t>
  </si>
  <si>
    <t>Not Received</t>
  </si>
  <si>
    <t>Khyber Pakthunkhwa</t>
  </si>
  <si>
    <t>Peshawar Museum, Peshawar.</t>
  </si>
  <si>
    <t xml:space="preserve">Sawat Museum </t>
  </si>
  <si>
    <t>Dir Museum,  Chekdara</t>
  </si>
  <si>
    <t>Hund Museum, Swabi</t>
  </si>
  <si>
    <t>Chitral Museum, Chitral</t>
  </si>
  <si>
    <t>Pushkalavati Museum, Charsadda</t>
  </si>
  <si>
    <t>Bannu Museum, Bannu</t>
  </si>
  <si>
    <t>City Museum Gor Khatri, Peshawar</t>
  </si>
  <si>
    <t>Mardan Museum, Mardan</t>
  </si>
  <si>
    <t>Kalasha Dur Museum Bumborate, Chitral</t>
  </si>
  <si>
    <t>BALOCHISTAN</t>
  </si>
  <si>
    <t>Mehargarh Museum Quetta</t>
  </si>
  <si>
    <t>Turbat Museum Distt: Kech</t>
  </si>
  <si>
    <t>Gawader Fort  Museum Distt: Gawader</t>
  </si>
  <si>
    <t>Note= Directorate of Aarchaeology &amp; Museum, Govt. of KP added new museums/Site in previous list</t>
  </si>
  <si>
    <r>
      <t xml:space="preserve">     </t>
    </r>
    <r>
      <rPr>
        <sz val="10"/>
        <rFont val="Arial"/>
        <family val="2"/>
      </rPr>
      <t>Contd.</t>
    </r>
    <r>
      <rPr>
        <sz val="12"/>
        <rFont val="Times New Roman"/>
        <family val="1"/>
      </rPr>
      <t>.</t>
    </r>
  </si>
  <si>
    <t>Visitors at Heritage Site in Pakistan During January-December, 2024</t>
  </si>
  <si>
    <t xml:space="preserve">  March</t>
  </si>
  <si>
    <t>Jhangirs Tomb, Lahore</t>
  </si>
  <si>
    <t>Shalamar Garde, Lahore</t>
  </si>
  <si>
    <t>Haran Minar &amp; Tank, Sheikhupura</t>
  </si>
  <si>
    <t>Harappa, Sahiwal</t>
  </si>
  <si>
    <t>Taxila, Rawalpindi</t>
  </si>
  <si>
    <t>Mughal Garden Wah Cantt</t>
  </si>
  <si>
    <t>Bhambore, District Thatta.</t>
  </si>
  <si>
    <t>Makli Hill Monument, District Thatta</t>
  </si>
  <si>
    <t>Monjodaro, Distric Larkana.</t>
  </si>
  <si>
    <t>Umerkot Fort, District Tharparkar.</t>
  </si>
  <si>
    <t>Remains of Takht-e-Bhai, District Mardan</t>
  </si>
  <si>
    <t>Butkara Site Museum, Saidu Sharif, Swat</t>
  </si>
  <si>
    <t>Julian Site, Haripur</t>
  </si>
  <si>
    <t>Sethi House, Peshawar</t>
  </si>
  <si>
    <t>Jamal Garhi, Mardan</t>
  </si>
  <si>
    <t>Shehbaz Garhi, Mardan</t>
  </si>
  <si>
    <t>Ali Mardan Khan Villa Peshawar</t>
  </si>
  <si>
    <t>Saido Sharif Stupa, Swat</t>
  </si>
  <si>
    <t>Mehmood Ghazni Mosque &amp; Raja Gira Fort, Sawat</t>
  </si>
  <si>
    <t>Barikot (Bazira) Site, Swat</t>
  </si>
  <si>
    <t>Archaeological Site of Bhamla Haripur</t>
  </si>
  <si>
    <t xml:space="preserve">Archaelogical Site of Ashoka Rock Edict Mansehra </t>
  </si>
  <si>
    <t>Archaelogical Site Ranigat, Buner</t>
  </si>
  <si>
    <t>Jina Wali Dheri,Distt Haripur</t>
  </si>
  <si>
    <t>Jirgha Hall Sibi: Distt Sibi</t>
  </si>
  <si>
    <t>Quaid' Residency Distt: Ziarat</t>
  </si>
  <si>
    <t>Contd..</t>
  </si>
  <si>
    <t>Register Veterinary Medical Practitioner With PVMC- 2024</t>
  </si>
  <si>
    <t>S.No.</t>
  </si>
  <si>
    <t>RVMP Registration for the year of 2024</t>
  </si>
  <si>
    <t>D.V.M</t>
  </si>
  <si>
    <t>M.Sc</t>
  </si>
  <si>
    <t>M.Phil</t>
  </si>
  <si>
    <t>Ph.D</t>
  </si>
  <si>
    <t xml:space="preserve">January </t>
  </si>
  <si>
    <t>NIL</t>
  </si>
  <si>
    <r>
      <t xml:space="preserve"> Total RVMP Registered since 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January 2021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1618          Source:- Pakistan Veterinary Medical </t>
    </r>
  </si>
  <si>
    <r>
      <t xml:space="preserve"> Total RVMP Registered since 30</t>
    </r>
    <r>
      <rPr>
        <vertAlign val="superscript"/>
        <sz val="10"/>
        <color theme="1"/>
        <rFont val="Times New Roman"/>
        <family val="1"/>
      </rPr>
      <t>th</t>
    </r>
    <r>
      <rPr>
        <sz val="10"/>
        <color theme="1"/>
        <rFont val="Times New Roman"/>
        <family val="1"/>
      </rPr>
      <t xml:space="preserve"> May    2000 to 31st December 2021= 17257                  Council, Islamabad</t>
    </r>
  </si>
  <si>
    <t>B.Sc. (Hons)</t>
  </si>
  <si>
    <t>M.Sc.</t>
  </si>
  <si>
    <t>A.H</t>
  </si>
  <si>
    <r>
      <t xml:space="preserve">     Total RAHG Registered since 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January 2021 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 01    Source:- Pakistan Veterinary Medical </t>
    </r>
  </si>
  <si>
    <r>
      <t xml:space="preserve"> Total RAHG Registered since 30</t>
    </r>
    <r>
      <rPr>
        <vertAlign val="superscript"/>
        <sz val="10"/>
        <color theme="1"/>
        <rFont val="Times New Roman"/>
        <family val="1"/>
      </rPr>
      <t>th</t>
    </r>
    <r>
      <rPr>
        <sz val="10"/>
        <color theme="1"/>
        <rFont val="Times New Roman"/>
        <family val="1"/>
      </rPr>
      <t xml:space="preserve"> May    2000 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515                            Council, Islamabad</t>
    </r>
  </si>
  <si>
    <t>Registered Animal Husbandry Graduate With PVMC- 2024</t>
  </si>
  <si>
    <t>MONTHLY DATA FOR THE MONTH OF JANUARY –DECEMBER, 2024</t>
  </si>
  <si>
    <t>Months</t>
  </si>
  <si>
    <t>Distribution of  Cellular Mobile Subscribers</t>
  </si>
  <si>
    <t>PMCL</t>
  </si>
  <si>
    <t>CM Pak             (Zong)</t>
  </si>
  <si>
    <t xml:space="preserve">PTML </t>
  </si>
  <si>
    <t>Telenor</t>
  </si>
  <si>
    <t>SCO</t>
  </si>
  <si>
    <t>(Jazz)</t>
  </si>
  <si>
    <t>Ufone</t>
  </si>
  <si>
    <t xml:space="preserve">June </t>
  </si>
  <si>
    <t>TOTAL</t>
  </si>
  <si>
    <t>Note:-  Warid merged PMCL (Moblink ) with new name PMCL (Jazz) from January-2017.</t>
  </si>
  <si>
    <t>Source.</t>
  </si>
  <si>
    <t>Pakistan Telecomunication Authority, Islamabad</t>
  </si>
  <si>
    <t xml:space="preserve">*= Remin closed due to repair &amp; maintainanc work    **= Museum remained closed due to preservation &amp; conservaton work. </t>
  </si>
  <si>
    <t xml:space="preserve"> August</t>
  </si>
  <si>
    <t>Museum,Moenjodaro, Distric Larkana.</t>
  </si>
  <si>
    <t>Quid-e-Azam Birth House, Karachi.</t>
  </si>
  <si>
    <t xml:space="preserve">                                                           Government of Pakistan &amp; Provincial Governments</t>
  </si>
  <si>
    <t xml:space="preserve">.                                                                                                           </t>
  </si>
  <si>
    <t xml:space="preserve">  August</t>
  </si>
  <si>
    <t>Jahangir's Tomb, Lahore</t>
  </si>
  <si>
    <t>Shalamar Garden, Lahore</t>
  </si>
  <si>
    <t>Hiran Minar &amp; Tank, Sheikhupura</t>
  </si>
  <si>
    <t>Mughal garden Wah cantt</t>
  </si>
  <si>
    <t>Moenjodaro, Distric Larkana.</t>
  </si>
  <si>
    <t>Source:- Department of Archaeology and Museum,</t>
  </si>
  <si>
    <t xml:space="preserve">                 </t>
  </si>
  <si>
    <t xml:space="preserve">                       Government of Pakistan &amp; Provincial Government</t>
  </si>
  <si>
    <t>Period: 4th Quarter,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</si>
</sst>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2">
    <xf numFmtId="0" fontId="0" fillId="0" borderId="0" xfId="0"/>
    <xf numFmtId="2" fontId="7" fillId="5" borderId="7" xfId="0" applyNumberFormat="1" applyFont="1" applyFill="1" applyBorder="1" applyAlignment="1">
      <alignment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2" fontId="7" fillId="6" borderId="14" xfId="0" applyNumberFormat="1" applyFont="1" applyFill="1" applyBorder="1" applyAlignment="1">
      <alignment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9" fontId="8" fillId="0" borderId="16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0" fillId="0" borderId="0" xfId="0" applyNumberFormat="1" applyFont="1" applyAlignment="1">
      <alignment vertical="center"/>
    </xf>
    <xf numFmtId="9" fontId="8" fillId="0" borderId="10" xfId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 wrapText="1"/>
    </xf>
    <xf numFmtId="9" fontId="8" fillId="0" borderId="16" xfId="1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/>
    <xf numFmtId="0" fontId="0" fillId="0" borderId="10" xfId="0" applyFont="1" applyFill="1" applyBorder="1" applyAlignment="1"/>
    <xf numFmtId="0" fontId="14" fillId="0" borderId="8" xfId="0" applyFont="1" applyFill="1" applyBorder="1" applyAlignment="1"/>
    <xf numFmtId="0" fontId="14" fillId="0" borderId="10" xfId="0" applyFont="1" applyFill="1" applyBorder="1" applyAlignment="1"/>
    <xf numFmtId="0" fontId="0" fillId="0" borderId="8" xfId="0" applyFont="1" applyFill="1" applyBorder="1"/>
    <xf numFmtId="0" fontId="0" fillId="0" borderId="10" xfId="0" applyFont="1" applyFill="1" applyBorder="1"/>
    <xf numFmtId="0" fontId="14" fillId="0" borderId="8" xfId="0" applyFont="1" applyFill="1" applyBorder="1"/>
    <xf numFmtId="0" fontId="14" fillId="0" borderId="10" xfId="0" applyFont="1" applyFill="1" applyBorder="1"/>
    <xf numFmtId="0" fontId="13" fillId="0" borderId="14" xfId="0" applyFont="1" applyFill="1" applyBorder="1" applyAlignment="1">
      <alignment horizontal="left" vertical="center"/>
    </xf>
    <xf numFmtId="0" fontId="0" fillId="0" borderId="15" xfId="0" applyFont="1" applyFill="1" applyBorder="1"/>
    <xf numFmtId="0" fontId="0" fillId="0" borderId="16" xfId="0" applyFont="1" applyFill="1" applyBorder="1"/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horizontal="center" vertical="center"/>
    </xf>
    <xf numFmtId="3" fontId="18" fillId="0" borderId="13" xfId="0" applyNumberFormat="1" applyFont="1" applyFill="1" applyBorder="1" applyAlignment="1">
      <alignment horizontal="center" vertical="center"/>
    </xf>
    <xf numFmtId="3" fontId="18" fillId="0" borderId="13" xfId="0" applyNumberFormat="1" applyFont="1" applyFill="1" applyBorder="1" applyAlignment="1">
      <alignment horizontal="center" vertical="center" wrapText="1"/>
    </xf>
    <xf numFmtId="3" fontId="18" fillId="0" borderId="32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vertical="center"/>
    </xf>
    <xf numFmtId="3" fontId="13" fillId="0" borderId="8" xfId="0" applyNumberFormat="1" applyFont="1" applyFill="1" applyBorder="1" applyAlignment="1">
      <alignment horizontal="center" vertical="center"/>
    </xf>
    <xf numFmtId="3" fontId="18" fillId="0" borderId="8" xfId="0" applyNumberFormat="1" applyFont="1" applyFill="1" applyBorder="1" applyAlignment="1">
      <alignment horizontal="center" vertical="center"/>
    </xf>
    <xf numFmtId="3" fontId="18" fillId="0" borderId="8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vertical="center"/>
    </xf>
    <xf numFmtId="3" fontId="13" fillId="0" borderId="15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wrapText="1"/>
    </xf>
    <xf numFmtId="0" fontId="13" fillId="4" borderId="31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3" fontId="13" fillId="0" borderId="32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0" fontId="21" fillId="10" borderId="8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3" borderId="7" xfId="0" applyFont="1" applyFill="1" applyBorder="1"/>
    <xf numFmtId="0" fontId="22" fillId="3" borderId="8" xfId="0" applyFont="1" applyFill="1" applyBorder="1" applyAlignment="1">
      <alignment horizontal="right"/>
    </xf>
    <xf numFmtId="0" fontId="21" fillId="11" borderId="7" xfId="0" applyFont="1" applyFill="1" applyBorder="1"/>
    <xf numFmtId="0" fontId="22" fillId="11" borderId="8" xfId="0" applyFont="1" applyFill="1" applyBorder="1" applyAlignment="1">
      <alignment horizontal="right"/>
    </xf>
    <xf numFmtId="0" fontId="22" fillId="11" borderId="10" xfId="0" applyFont="1" applyFill="1" applyBorder="1" applyAlignment="1">
      <alignment horizontal="right"/>
    </xf>
    <xf numFmtId="0" fontId="23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right"/>
    </xf>
    <xf numFmtId="0" fontId="24" fillId="0" borderId="10" xfId="0" applyFont="1" applyFill="1" applyBorder="1" applyAlignment="1">
      <alignment horizontal="right"/>
    </xf>
    <xf numFmtId="0" fontId="23" fillId="0" borderId="7" xfId="0" applyFont="1" applyFill="1" applyBorder="1"/>
    <xf numFmtId="0" fontId="23" fillId="0" borderId="7" xfId="0" applyFont="1" applyFill="1" applyBorder="1" applyAlignment="1">
      <alignment wrapText="1"/>
    </xf>
    <xf numFmtId="0" fontId="0" fillId="0" borderId="8" xfId="0" applyFill="1" applyBorder="1" applyAlignment="1">
      <alignment horizontal="right"/>
    </xf>
    <xf numFmtId="0" fontId="24" fillId="0" borderId="8" xfId="0" applyFont="1" applyFill="1" applyBorder="1" applyAlignment="1"/>
    <xf numFmtId="0" fontId="23" fillId="12" borderId="7" xfId="0" applyFont="1" applyFill="1" applyBorder="1" applyAlignment="1">
      <alignment wrapText="1"/>
    </xf>
    <xf numFmtId="0" fontId="24" fillId="13" borderId="8" xfId="0" applyFont="1" applyFill="1" applyBorder="1" applyAlignment="1"/>
    <xf numFmtId="0" fontId="23" fillId="0" borderId="25" xfId="0" applyFont="1" applyBorder="1"/>
    <xf numFmtId="0" fontId="24" fillId="12" borderId="26" xfId="0" applyFont="1" applyFill="1" applyBorder="1" applyAlignment="1">
      <alignment horizontal="center"/>
    </xf>
    <xf numFmtId="0" fontId="23" fillId="0" borderId="27" xfId="0" applyFont="1" applyBorder="1"/>
    <xf numFmtId="0" fontId="24" fillId="13" borderId="8" xfId="0" applyFont="1" applyFill="1" applyBorder="1" applyAlignment="1">
      <alignment horizontal="right"/>
    </xf>
    <xf numFmtId="0" fontId="24" fillId="13" borderId="10" xfId="0" applyFont="1" applyFill="1" applyBorder="1" applyAlignment="1">
      <alignment horizontal="right"/>
    </xf>
    <xf numFmtId="0" fontId="24" fillId="0" borderId="8" xfId="0" applyFont="1" applyFill="1" applyBorder="1" applyAlignment="1">
      <alignment horizontal="right" wrapText="1"/>
    </xf>
    <xf numFmtId="0" fontId="22" fillId="0" borderId="8" xfId="0" applyFont="1" applyFill="1" applyBorder="1" applyAlignment="1">
      <alignment horizontal="right"/>
    </xf>
    <xf numFmtId="0" fontId="24" fillId="0" borderId="10" xfId="0" applyFont="1" applyFill="1" applyBorder="1" applyAlignment="1"/>
    <xf numFmtId="0" fontId="23" fillId="0" borderId="14" xfId="0" applyFont="1" applyFill="1" applyBorder="1" applyAlignment="1">
      <alignment wrapText="1"/>
    </xf>
    <xf numFmtId="0" fontId="24" fillId="0" borderId="15" xfId="0" applyFont="1" applyFill="1" applyBorder="1" applyAlignment="1">
      <alignment horizontal="right"/>
    </xf>
    <xf numFmtId="0" fontId="24" fillId="0" borderId="16" xfId="0" applyFont="1" applyFill="1" applyBorder="1" applyAlignment="1">
      <alignment horizontal="right"/>
    </xf>
    <xf numFmtId="0" fontId="23" fillId="0" borderId="0" xfId="0" applyFont="1" applyBorder="1"/>
    <xf numFmtId="0" fontId="22" fillId="0" borderId="0" xfId="0" applyFont="1" applyBorder="1" applyAlignment="1">
      <alignment horizontal="right"/>
    </xf>
    <xf numFmtId="0" fontId="6" fillId="14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8" fillId="15" borderId="14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left" vertical="center" wrapText="1"/>
    </xf>
    <xf numFmtId="0" fontId="6" fillId="15" borderId="15" xfId="0" applyFont="1" applyFill="1" applyBorder="1" applyAlignment="1">
      <alignment horizontal="right" vertical="center" wrapText="1"/>
    </xf>
    <xf numFmtId="0" fontId="6" fillId="17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8" fillId="15" borderId="38" xfId="0" applyFont="1" applyFill="1" applyBorder="1" applyAlignment="1">
      <alignment horizontal="center" vertical="center" wrapText="1"/>
    </xf>
    <xf numFmtId="0" fontId="6" fillId="15" borderId="39" xfId="0" applyFont="1" applyFill="1" applyBorder="1" applyAlignment="1">
      <alignment horizontal="left" vertical="center" wrapText="1"/>
    </xf>
    <xf numFmtId="0" fontId="6" fillId="15" borderId="39" xfId="0" applyFont="1" applyFill="1" applyBorder="1" applyAlignment="1">
      <alignment horizontal="center" vertical="center" wrapText="1"/>
    </xf>
    <xf numFmtId="0" fontId="6" fillId="15" borderId="40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12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3" fillId="19" borderId="8" xfId="0" applyFont="1" applyFill="1" applyBorder="1" applyAlignment="1">
      <alignment horizontal="center" vertical="center" wrapText="1"/>
    </xf>
    <xf numFmtId="0" fontId="13" fillId="14" borderId="7" xfId="0" applyFont="1" applyFill="1" applyBorder="1" applyAlignment="1">
      <alignment vertical="center" wrapText="1"/>
    </xf>
    <xf numFmtId="3" fontId="28" fillId="0" borderId="8" xfId="0" applyNumberFormat="1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right" vertical="center" wrapText="1"/>
    </xf>
    <xf numFmtId="3" fontId="19" fillId="0" borderId="10" xfId="0" applyNumberFormat="1" applyFont="1" applyBorder="1" applyAlignment="1">
      <alignment horizontal="right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0" fontId="13" fillId="14" borderId="7" xfId="0" applyFont="1" applyFill="1" applyBorder="1" applyAlignment="1">
      <alignment vertical="center"/>
    </xf>
    <xf numFmtId="41" fontId="19" fillId="0" borderId="8" xfId="2" applyFont="1" applyBorder="1" applyAlignment="1">
      <alignment horizontal="right" vertical="center" wrapText="1"/>
    </xf>
    <xf numFmtId="0" fontId="13" fillId="14" borderId="14" xfId="0" applyFont="1" applyFill="1" applyBorder="1" applyAlignment="1">
      <alignment vertical="center"/>
    </xf>
    <xf numFmtId="3" fontId="28" fillId="0" borderId="15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0" fillId="0" borderId="0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1" fillId="10" borderId="31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 wrapText="1"/>
    </xf>
    <xf numFmtId="0" fontId="21" fillId="10" borderId="3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21" fillId="10" borderId="3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/>
    </xf>
    <xf numFmtId="2" fontId="6" fillId="4" borderId="13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2" fontId="11" fillId="4" borderId="1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/>
    </xf>
    <xf numFmtId="2" fontId="10" fillId="0" borderId="0" xfId="0" applyNumberFormat="1" applyFont="1" applyAlignment="1">
      <alignment horizontal="left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4" fillId="16" borderId="35" xfId="0" applyFont="1" applyFill="1" applyBorder="1" applyAlignment="1">
      <alignment horizontal="center" vertical="center"/>
    </xf>
    <xf numFmtId="0" fontId="4" fillId="16" borderId="36" xfId="0" applyFont="1" applyFill="1" applyBorder="1" applyAlignment="1">
      <alignment horizontal="center" vertical="center"/>
    </xf>
    <xf numFmtId="0" fontId="4" fillId="16" borderId="37" xfId="0" applyFont="1" applyFill="1" applyBorder="1" applyAlignment="1">
      <alignment horizontal="center" vertical="center"/>
    </xf>
    <xf numFmtId="0" fontId="4" fillId="16" borderId="33" xfId="0" applyFont="1" applyFill="1" applyBorder="1" applyAlignment="1">
      <alignment horizontal="center" vertical="center"/>
    </xf>
    <xf numFmtId="0" fontId="4" fillId="16" borderId="0" xfId="0" applyFont="1" applyFill="1" applyBorder="1" applyAlignment="1">
      <alignment horizontal="center" vertical="center"/>
    </xf>
    <xf numFmtId="0" fontId="4" fillId="16" borderId="3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center" vertical="center"/>
    </xf>
    <xf numFmtId="0" fontId="6" fillId="18" borderId="7" xfId="0" applyFont="1" applyFill="1" applyBorder="1" applyAlignment="1">
      <alignment horizontal="center" vertical="center"/>
    </xf>
    <xf numFmtId="0" fontId="6" fillId="18" borderId="8" xfId="0" applyFont="1" applyFill="1" applyBorder="1" applyAlignment="1">
      <alignment horizontal="center" vertical="center"/>
    </xf>
    <xf numFmtId="0" fontId="6" fillId="18" borderId="10" xfId="0" applyFont="1" applyFill="1" applyBorder="1" applyAlignment="1">
      <alignment horizontal="center" vertical="center"/>
    </xf>
    <xf numFmtId="0" fontId="13" fillId="19" borderId="7" xfId="0" applyFont="1" applyFill="1" applyBorder="1" applyAlignment="1">
      <alignment horizontal="center" vertical="center" wrapText="1"/>
    </xf>
    <xf numFmtId="0" fontId="13" fillId="19" borderId="8" xfId="0" applyFont="1" applyFill="1" applyBorder="1" applyAlignment="1">
      <alignment horizontal="center" vertical="center" wrapText="1"/>
    </xf>
    <xf numFmtId="0" fontId="13" fillId="19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21" fillId="4" borderId="31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left" vertical="center" wrapText="1"/>
    </xf>
    <xf numFmtId="0" fontId="24" fillId="12" borderId="8" xfId="0" applyFont="1" applyFill="1" applyBorder="1" applyAlignment="1">
      <alignment horizontal="right"/>
    </xf>
    <xf numFmtId="0" fontId="24" fillId="12" borderId="10" xfId="0" applyFont="1" applyFill="1" applyBorder="1" applyAlignment="1">
      <alignment horizontal="right"/>
    </xf>
    <xf numFmtId="0" fontId="23" fillId="12" borderId="7" xfId="0" applyFont="1" applyFill="1" applyBorder="1"/>
    <xf numFmtId="0" fontId="24" fillId="12" borderId="8" xfId="0" applyFont="1" applyFill="1" applyBorder="1" applyAlignment="1">
      <alignment horizontal="right" wrapText="1"/>
    </xf>
    <xf numFmtId="0" fontId="0" fillId="0" borderId="8" xfId="0" applyBorder="1"/>
    <xf numFmtId="0" fontId="24" fillId="12" borderId="41" xfId="0" applyFont="1" applyFill="1" applyBorder="1" applyAlignment="1">
      <alignment horizontal="right"/>
    </xf>
    <xf numFmtId="0" fontId="0" fillId="12" borderId="8" xfId="0" applyFill="1" applyBorder="1" applyAlignment="1">
      <alignment horizontal="right"/>
    </xf>
    <xf numFmtId="0" fontId="0" fillId="12" borderId="0" xfId="0" applyFill="1"/>
    <xf numFmtId="0" fontId="23" fillId="12" borderId="0" xfId="0" applyFont="1" applyFill="1"/>
    <xf numFmtId="0" fontId="23" fillId="0" borderId="0" xfId="0" applyFont="1"/>
    <xf numFmtId="0" fontId="20" fillId="6" borderId="35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horizontal="center" vertical="center"/>
    </xf>
    <xf numFmtId="0" fontId="20" fillId="6" borderId="37" xfId="0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/>
    </xf>
    <xf numFmtId="0" fontId="23" fillId="12" borderId="42" xfId="0" applyFont="1" applyFill="1" applyBorder="1" applyAlignment="1">
      <alignment wrapText="1"/>
    </xf>
    <xf numFmtId="0" fontId="24" fillId="0" borderId="13" xfId="0" applyFont="1" applyFill="1" applyBorder="1" applyAlignment="1">
      <alignment horizontal="right" wrapText="1"/>
    </xf>
    <xf numFmtId="0" fontId="24" fillId="0" borderId="32" xfId="0" applyFont="1" applyFill="1" applyBorder="1" applyAlignment="1">
      <alignment horizontal="right" wrapText="1"/>
    </xf>
    <xf numFmtId="0" fontId="21" fillId="11" borderId="8" xfId="0" applyFont="1" applyFill="1" applyBorder="1"/>
    <xf numFmtId="0" fontId="23" fillId="12" borderId="31" xfId="0" applyFont="1" applyFill="1" applyBorder="1"/>
    <xf numFmtId="0" fontId="23" fillId="12" borderId="14" xfId="0" applyFont="1" applyFill="1" applyBorder="1" applyAlignment="1">
      <alignment wrapText="1"/>
    </xf>
    <xf numFmtId="0" fontId="24" fillId="12" borderId="15" xfId="0" applyFont="1" applyFill="1" applyBorder="1" applyAlignment="1">
      <alignment horizontal="right"/>
    </xf>
    <xf numFmtId="0" fontId="24" fillId="12" borderId="16" xfId="0" applyFont="1" applyFill="1" applyBorder="1" applyAlignment="1">
      <alignment horizontal="right"/>
    </xf>
    <xf numFmtId="0" fontId="23" fillId="0" borderId="0" xfId="0" applyFont="1" applyAlignment="1">
      <alignment horizontal="left" indent="8"/>
    </xf>
    <xf numFmtId="1" fontId="8" fillId="0" borderId="8" xfId="0" applyNumberFormat="1" applyFont="1" applyBorder="1" applyAlignment="1">
      <alignment horizontal="right" vertical="center" wrapText="1"/>
    </xf>
    <xf numFmtId="9" fontId="8" fillId="0" borderId="10" xfId="1" applyFont="1" applyBorder="1" applyAlignment="1">
      <alignment horizontal="right" vertical="center" wrapText="1"/>
    </xf>
    <xf numFmtId="1" fontId="8" fillId="0" borderId="8" xfId="1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9" fontId="8" fillId="0" borderId="15" xfId="1" applyFont="1" applyBorder="1" applyAlignment="1">
      <alignment horizontal="right" vertical="center" wrapText="1"/>
    </xf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C61" sqref="C61:G72"/>
    </sheetView>
  </sheetViews>
  <sheetFormatPr defaultRowHeight="15" x14ac:dyDescent="0.25"/>
  <cols>
    <col min="1" max="1" width="21.85546875" customWidth="1"/>
    <col min="2" max="3" width="14.5703125" customWidth="1"/>
    <col min="4" max="4" width="13.140625" customWidth="1"/>
    <col min="5" max="5" width="15.140625" customWidth="1"/>
    <col min="6" max="6" width="14.7109375" customWidth="1"/>
    <col min="7" max="7" width="14.5703125" customWidth="1"/>
  </cols>
  <sheetData>
    <row r="1" spans="1:7" x14ac:dyDescent="0.25">
      <c r="A1" s="141" t="s">
        <v>26</v>
      </c>
      <c r="B1" s="142"/>
      <c r="C1" s="142"/>
      <c r="D1" s="142"/>
      <c r="E1" s="142"/>
      <c r="F1" s="142"/>
      <c r="G1" s="143"/>
    </row>
    <row r="2" spans="1:7" x14ac:dyDescent="0.25">
      <c r="A2" s="144" t="s">
        <v>27</v>
      </c>
      <c r="B2" s="145" t="s">
        <v>28</v>
      </c>
      <c r="C2" s="146" t="s">
        <v>29</v>
      </c>
      <c r="D2" s="146"/>
      <c r="E2" s="146" t="s">
        <v>30</v>
      </c>
      <c r="F2" s="146"/>
      <c r="G2" s="147" t="s">
        <v>31</v>
      </c>
    </row>
    <row r="3" spans="1:7" ht="30" customHeight="1" x14ac:dyDescent="0.25">
      <c r="A3" s="144"/>
      <c r="B3" s="145"/>
      <c r="C3" s="18" t="s">
        <v>32</v>
      </c>
      <c r="D3" s="18" t="s">
        <v>33</v>
      </c>
      <c r="E3" s="18" t="s">
        <v>34</v>
      </c>
      <c r="F3" s="18" t="s">
        <v>35</v>
      </c>
      <c r="G3" s="147"/>
    </row>
    <row r="4" spans="1:7" x14ac:dyDescent="0.25">
      <c r="A4" s="19">
        <v>2024</v>
      </c>
      <c r="B4" s="148" t="s">
        <v>36</v>
      </c>
      <c r="C4" s="149"/>
      <c r="D4" s="149"/>
      <c r="E4" s="149"/>
      <c r="F4" s="149"/>
      <c r="G4" s="150"/>
    </row>
    <row r="5" spans="1:7" x14ac:dyDescent="0.25">
      <c r="A5" s="20" t="s">
        <v>37</v>
      </c>
      <c r="B5" s="21">
        <f>SUM(C5+D5)</f>
        <v>30</v>
      </c>
      <c r="C5" s="21">
        <v>11</v>
      </c>
      <c r="D5" s="21">
        <v>19</v>
      </c>
      <c r="E5" s="21">
        <v>13</v>
      </c>
      <c r="F5" s="21">
        <f>12+14</f>
        <v>26</v>
      </c>
      <c r="G5" s="22">
        <v>30</v>
      </c>
    </row>
    <row r="6" spans="1:7" x14ac:dyDescent="0.25">
      <c r="A6" s="20" t="s">
        <v>38</v>
      </c>
      <c r="B6" s="21">
        <f t="shared" ref="B6:B69" si="0">SUM(C6+D6)</f>
        <v>30</v>
      </c>
      <c r="C6" s="23">
        <v>9</v>
      </c>
      <c r="D6" s="23">
        <v>21</v>
      </c>
      <c r="E6" s="23">
        <v>10</v>
      </c>
      <c r="F6" s="23">
        <v>12</v>
      </c>
      <c r="G6" s="24">
        <v>30</v>
      </c>
    </row>
    <row r="7" spans="1:7" x14ac:dyDescent="0.25">
      <c r="A7" s="20" t="s">
        <v>39</v>
      </c>
      <c r="B7" s="21">
        <f t="shared" si="0"/>
        <v>25</v>
      </c>
      <c r="C7" s="21">
        <v>13</v>
      </c>
      <c r="D7" s="21">
        <v>12</v>
      </c>
      <c r="E7" s="21">
        <v>14</v>
      </c>
      <c r="F7" s="21">
        <v>11</v>
      </c>
      <c r="G7" s="22">
        <v>25</v>
      </c>
    </row>
    <row r="8" spans="1:7" x14ac:dyDescent="0.25">
      <c r="A8" s="19" t="s">
        <v>40</v>
      </c>
      <c r="B8" s="21">
        <f t="shared" si="0"/>
        <v>23</v>
      </c>
      <c r="C8" s="21">
        <v>11</v>
      </c>
      <c r="D8" s="21">
        <v>12</v>
      </c>
      <c r="E8" s="21">
        <v>12</v>
      </c>
      <c r="F8" s="21">
        <v>17</v>
      </c>
      <c r="G8" s="22">
        <v>23</v>
      </c>
    </row>
    <row r="9" spans="1:7" x14ac:dyDescent="0.25">
      <c r="A9" s="19" t="s">
        <v>41</v>
      </c>
      <c r="B9" s="21">
        <f t="shared" si="0"/>
        <v>35</v>
      </c>
      <c r="C9" s="21">
        <v>17</v>
      </c>
      <c r="D9" s="21">
        <v>18</v>
      </c>
      <c r="E9" s="21">
        <v>21</v>
      </c>
      <c r="F9" s="21">
        <v>16</v>
      </c>
      <c r="G9" s="22">
        <v>35</v>
      </c>
    </row>
    <row r="10" spans="1:7" x14ac:dyDescent="0.25">
      <c r="A10" s="19" t="s">
        <v>42</v>
      </c>
      <c r="B10" s="21">
        <f t="shared" si="0"/>
        <v>37</v>
      </c>
      <c r="C10" s="21">
        <v>17</v>
      </c>
      <c r="D10" s="21">
        <v>20</v>
      </c>
      <c r="E10" s="21">
        <v>19</v>
      </c>
      <c r="F10" s="21">
        <v>14</v>
      </c>
      <c r="G10" s="22">
        <v>37</v>
      </c>
    </row>
    <row r="11" spans="1:7" x14ac:dyDescent="0.25">
      <c r="A11" s="20" t="s">
        <v>43</v>
      </c>
      <c r="B11" s="21">
        <f t="shared" si="0"/>
        <v>24</v>
      </c>
      <c r="C11" s="25">
        <v>8</v>
      </c>
      <c r="D11" s="25">
        <v>16</v>
      </c>
      <c r="E11" s="25">
        <v>8</v>
      </c>
      <c r="F11" s="25">
        <f>15+17</f>
        <v>32</v>
      </c>
      <c r="G11" s="26">
        <v>24</v>
      </c>
    </row>
    <row r="12" spans="1:7" x14ac:dyDescent="0.25">
      <c r="A12" s="20" t="s">
        <v>44</v>
      </c>
      <c r="B12" s="21">
        <f t="shared" si="0"/>
        <v>27</v>
      </c>
      <c r="C12" s="25">
        <v>8</v>
      </c>
      <c r="D12" s="25">
        <v>19</v>
      </c>
      <c r="E12" s="25">
        <v>10</v>
      </c>
      <c r="F12" s="25">
        <f>16+6</f>
        <v>22</v>
      </c>
      <c r="G12" s="26">
        <v>27</v>
      </c>
    </row>
    <row r="13" spans="1:7" x14ac:dyDescent="0.25">
      <c r="A13" s="20" t="s">
        <v>45</v>
      </c>
      <c r="B13" s="21">
        <f t="shared" si="0"/>
        <v>23</v>
      </c>
      <c r="C13" s="25">
        <v>7</v>
      </c>
      <c r="D13" s="25">
        <v>16</v>
      </c>
      <c r="E13" s="25">
        <v>6</v>
      </c>
      <c r="F13" s="25">
        <v>17</v>
      </c>
      <c r="G13" s="26">
        <v>42</v>
      </c>
    </row>
    <row r="14" spans="1:7" x14ac:dyDescent="0.25">
      <c r="A14" s="20" t="s">
        <v>46</v>
      </c>
      <c r="B14" s="21">
        <f t="shared" si="0"/>
        <v>14</v>
      </c>
      <c r="C14" s="25">
        <v>6</v>
      </c>
      <c r="D14" s="25">
        <v>8</v>
      </c>
      <c r="E14" s="25">
        <v>5</v>
      </c>
      <c r="F14" s="25">
        <v>10</v>
      </c>
      <c r="G14" s="26">
        <v>23</v>
      </c>
    </row>
    <row r="15" spans="1:7" x14ac:dyDescent="0.25">
      <c r="A15" s="20" t="s">
        <v>47</v>
      </c>
      <c r="B15" s="21">
        <f t="shared" si="0"/>
        <v>21</v>
      </c>
      <c r="C15" s="25">
        <v>10</v>
      </c>
      <c r="D15" s="25">
        <v>11</v>
      </c>
      <c r="E15" s="25">
        <v>10</v>
      </c>
      <c r="F15" s="25">
        <v>11</v>
      </c>
      <c r="G15" s="26">
        <v>11</v>
      </c>
    </row>
    <row r="16" spans="1:7" x14ac:dyDescent="0.25">
      <c r="A16" s="20" t="s">
        <v>48</v>
      </c>
      <c r="B16" s="21">
        <f t="shared" si="0"/>
        <v>34</v>
      </c>
      <c r="C16" s="25">
        <v>9</v>
      </c>
      <c r="D16" s="25">
        <v>25</v>
      </c>
      <c r="E16" s="25">
        <v>10</v>
      </c>
      <c r="F16" s="25">
        <v>17</v>
      </c>
      <c r="G16" s="26">
        <v>34</v>
      </c>
    </row>
    <row r="17" spans="1:7" x14ac:dyDescent="0.25">
      <c r="A17" s="19" t="s">
        <v>10</v>
      </c>
      <c r="B17" s="21">
        <f t="shared" si="0"/>
        <v>323</v>
      </c>
      <c r="C17" s="21">
        <f t="shared" ref="C17:G17" si="1">SUM(C5:C16)</f>
        <v>126</v>
      </c>
      <c r="D17" s="21">
        <f t="shared" si="1"/>
        <v>197</v>
      </c>
      <c r="E17" s="21">
        <f t="shared" si="1"/>
        <v>138</v>
      </c>
      <c r="F17" s="21">
        <f t="shared" si="1"/>
        <v>205</v>
      </c>
      <c r="G17" s="22">
        <f t="shared" si="1"/>
        <v>341</v>
      </c>
    </row>
    <row r="18" spans="1:7" x14ac:dyDescent="0.25">
      <c r="A18" s="19">
        <v>2024</v>
      </c>
      <c r="B18" s="148" t="s">
        <v>16</v>
      </c>
      <c r="C18" s="149"/>
      <c r="D18" s="149"/>
      <c r="E18" s="149"/>
      <c r="F18" s="149"/>
      <c r="G18" s="150"/>
    </row>
    <row r="19" spans="1:7" x14ac:dyDescent="0.25">
      <c r="A19" s="20" t="s">
        <v>37</v>
      </c>
      <c r="B19" s="21">
        <f t="shared" si="0"/>
        <v>376</v>
      </c>
      <c r="C19" s="25">
        <v>289</v>
      </c>
      <c r="D19" s="25">
        <v>87</v>
      </c>
      <c r="E19" s="25">
        <v>324</v>
      </c>
      <c r="F19" s="25">
        <v>455</v>
      </c>
      <c r="G19" s="26">
        <v>609</v>
      </c>
    </row>
    <row r="20" spans="1:7" x14ac:dyDescent="0.25">
      <c r="A20" s="20" t="s">
        <v>38</v>
      </c>
      <c r="B20" s="21">
        <f t="shared" si="0"/>
        <v>357</v>
      </c>
      <c r="C20" s="25">
        <v>272</v>
      </c>
      <c r="D20" s="25">
        <v>85</v>
      </c>
      <c r="E20" s="25">
        <v>312</v>
      </c>
      <c r="F20" s="25">
        <v>346</v>
      </c>
      <c r="G20" s="26">
        <v>601</v>
      </c>
    </row>
    <row r="21" spans="1:7" x14ac:dyDescent="0.25">
      <c r="A21" s="20" t="s">
        <v>39</v>
      </c>
      <c r="B21" s="21">
        <f t="shared" si="0"/>
        <v>409</v>
      </c>
      <c r="C21" s="25">
        <v>295</v>
      </c>
      <c r="D21" s="25">
        <v>114</v>
      </c>
      <c r="E21" s="25">
        <v>334</v>
      </c>
      <c r="F21" s="25">
        <v>463</v>
      </c>
      <c r="G21" s="26">
        <v>695</v>
      </c>
    </row>
    <row r="22" spans="1:7" x14ac:dyDescent="0.25">
      <c r="A22" s="19" t="s">
        <v>40</v>
      </c>
      <c r="B22" s="21">
        <f t="shared" si="0"/>
        <v>489</v>
      </c>
      <c r="C22" s="25">
        <v>348</v>
      </c>
      <c r="D22" s="25">
        <v>141</v>
      </c>
      <c r="E22" s="25">
        <v>408</v>
      </c>
      <c r="F22" s="25">
        <v>794</v>
      </c>
      <c r="G22" s="26">
        <v>828</v>
      </c>
    </row>
    <row r="23" spans="1:7" x14ac:dyDescent="0.25">
      <c r="A23" s="19" t="s">
        <v>41</v>
      </c>
      <c r="B23" s="21">
        <f t="shared" si="0"/>
        <v>450</v>
      </c>
      <c r="C23" s="25">
        <v>345</v>
      </c>
      <c r="D23" s="25">
        <v>105</v>
      </c>
      <c r="E23" s="25">
        <v>420</v>
      </c>
      <c r="F23" s="25">
        <v>590</v>
      </c>
      <c r="G23" s="26">
        <v>795</v>
      </c>
    </row>
    <row r="24" spans="1:7" x14ac:dyDescent="0.25">
      <c r="A24" s="19" t="s">
        <v>42</v>
      </c>
      <c r="B24" s="21">
        <f t="shared" si="0"/>
        <v>390</v>
      </c>
      <c r="C24" s="25">
        <v>306</v>
      </c>
      <c r="D24" s="25">
        <v>84</v>
      </c>
      <c r="E24" s="25">
        <v>372</v>
      </c>
      <c r="F24" s="25">
        <v>510</v>
      </c>
      <c r="G24" s="26">
        <v>698</v>
      </c>
    </row>
    <row r="25" spans="1:7" x14ac:dyDescent="0.25">
      <c r="A25" s="20" t="s">
        <v>43</v>
      </c>
      <c r="B25" s="21">
        <f t="shared" si="0"/>
        <v>371</v>
      </c>
      <c r="C25" s="21">
        <v>273</v>
      </c>
      <c r="D25" s="21">
        <v>98</v>
      </c>
      <c r="E25" s="21">
        <v>324</v>
      </c>
      <c r="F25" s="21">
        <v>566</v>
      </c>
      <c r="G25" s="22">
        <v>664</v>
      </c>
    </row>
    <row r="26" spans="1:7" x14ac:dyDescent="0.25">
      <c r="A26" s="20" t="s">
        <v>44</v>
      </c>
      <c r="B26" s="21">
        <f t="shared" si="0"/>
        <v>370</v>
      </c>
      <c r="C26" s="23">
        <v>281</v>
      </c>
      <c r="D26" s="23">
        <v>89</v>
      </c>
      <c r="E26" s="23">
        <v>366</v>
      </c>
      <c r="F26" s="23">
        <v>459</v>
      </c>
      <c r="G26" s="24">
        <v>641</v>
      </c>
    </row>
    <row r="27" spans="1:7" x14ac:dyDescent="0.25">
      <c r="A27" s="20" t="s">
        <v>45</v>
      </c>
      <c r="B27" s="21">
        <f t="shared" si="0"/>
        <v>456</v>
      </c>
      <c r="C27" s="23">
        <v>343</v>
      </c>
      <c r="D27" s="23">
        <v>113</v>
      </c>
      <c r="E27" s="23">
        <v>399</v>
      </c>
      <c r="F27" s="23">
        <v>535</v>
      </c>
      <c r="G27" s="24">
        <v>820</v>
      </c>
    </row>
    <row r="28" spans="1:7" x14ac:dyDescent="0.25">
      <c r="A28" s="20" t="s">
        <v>46</v>
      </c>
      <c r="B28" s="21">
        <f t="shared" si="0"/>
        <v>463</v>
      </c>
      <c r="C28" s="23">
        <v>376</v>
      </c>
      <c r="D28" s="23">
        <v>87</v>
      </c>
      <c r="E28" s="23">
        <v>417</v>
      </c>
      <c r="F28" s="23">
        <v>486</v>
      </c>
      <c r="G28" s="24">
        <v>813</v>
      </c>
    </row>
    <row r="29" spans="1:7" x14ac:dyDescent="0.25">
      <c r="A29" s="20" t="s">
        <v>47</v>
      </c>
      <c r="B29" s="21">
        <f t="shared" si="0"/>
        <v>493</v>
      </c>
      <c r="C29" s="23">
        <v>370</v>
      </c>
      <c r="D29" s="23">
        <v>123</v>
      </c>
      <c r="E29" s="23">
        <v>427</v>
      </c>
      <c r="F29" s="23">
        <v>573</v>
      </c>
      <c r="G29" s="24">
        <v>869</v>
      </c>
    </row>
    <row r="30" spans="1:7" x14ac:dyDescent="0.25">
      <c r="A30" s="20" t="s">
        <v>48</v>
      </c>
      <c r="B30" s="21">
        <f t="shared" si="0"/>
        <v>479</v>
      </c>
      <c r="C30" s="23">
        <v>365</v>
      </c>
      <c r="D30" s="23">
        <v>114</v>
      </c>
      <c r="E30" s="23">
        <v>419</v>
      </c>
      <c r="F30" s="23">
        <v>625</v>
      </c>
      <c r="G30" s="24">
        <v>828</v>
      </c>
    </row>
    <row r="31" spans="1:7" x14ac:dyDescent="0.25">
      <c r="A31" s="19" t="s">
        <v>10</v>
      </c>
      <c r="B31" s="21">
        <f t="shared" si="0"/>
        <v>5103</v>
      </c>
      <c r="C31" s="21">
        <f t="shared" ref="C31:G31" si="2">SUM(C19:C30)</f>
        <v>3863</v>
      </c>
      <c r="D31" s="21">
        <f t="shared" si="2"/>
        <v>1240</v>
      </c>
      <c r="E31" s="21">
        <f t="shared" si="2"/>
        <v>4522</v>
      </c>
      <c r="F31" s="21">
        <f t="shared" si="2"/>
        <v>6402</v>
      </c>
      <c r="G31" s="22">
        <f t="shared" si="2"/>
        <v>8861</v>
      </c>
    </row>
    <row r="32" spans="1:7" x14ac:dyDescent="0.25">
      <c r="A32" s="19">
        <v>2024</v>
      </c>
      <c r="B32" s="148" t="s">
        <v>17</v>
      </c>
      <c r="C32" s="149"/>
      <c r="D32" s="149"/>
      <c r="E32" s="149"/>
      <c r="F32" s="149"/>
      <c r="G32" s="150"/>
    </row>
    <row r="33" spans="1:7" x14ac:dyDescent="0.25">
      <c r="A33" s="20" t="s">
        <v>37</v>
      </c>
      <c r="B33" s="21">
        <f t="shared" si="0"/>
        <v>82</v>
      </c>
      <c r="C33" s="21">
        <v>55</v>
      </c>
      <c r="D33" s="21">
        <v>27</v>
      </c>
      <c r="E33" s="21">
        <f>55+8</f>
        <v>63</v>
      </c>
      <c r="F33" s="21">
        <f>29+23</f>
        <v>52</v>
      </c>
      <c r="G33" s="22">
        <v>92</v>
      </c>
    </row>
    <row r="34" spans="1:7" x14ac:dyDescent="0.25">
      <c r="A34" s="20" t="s">
        <v>38</v>
      </c>
      <c r="B34" s="21">
        <f t="shared" si="0"/>
        <v>76</v>
      </c>
      <c r="C34" s="23">
        <v>27</v>
      </c>
      <c r="D34" s="23">
        <v>49</v>
      </c>
      <c r="E34" s="23">
        <v>29</v>
      </c>
      <c r="F34" s="23">
        <f>27+9</f>
        <v>36</v>
      </c>
      <c r="G34" s="24">
        <v>81</v>
      </c>
    </row>
    <row r="35" spans="1:7" x14ac:dyDescent="0.25">
      <c r="A35" s="20" t="s">
        <v>39</v>
      </c>
      <c r="B35" s="21">
        <f t="shared" si="0"/>
        <v>61</v>
      </c>
      <c r="C35" s="23">
        <v>45</v>
      </c>
      <c r="D35" s="23">
        <v>16</v>
      </c>
      <c r="E35" s="23">
        <f>8+44</f>
        <v>52</v>
      </c>
      <c r="F35" s="23">
        <v>46</v>
      </c>
      <c r="G35" s="24">
        <v>68</v>
      </c>
    </row>
    <row r="36" spans="1:7" x14ac:dyDescent="0.25">
      <c r="A36" s="19" t="s">
        <v>40</v>
      </c>
      <c r="B36" s="21">
        <f t="shared" si="0"/>
        <v>71</v>
      </c>
      <c r="C36" s="23">
        <v>46</v>
      </c>
      <c r="D36" s="23">
        <v>25</v>
      </c>
      <c r="E36" s="23">
        <f>47+7</f>
        <v>54</v>
      </c>
      <c r="F36" s="23">
        <f>47+9</f>
        <v>56</v>
      </c>
      <c r="G36" s="24">
        <v>78</v>
      </c>
    </row>
    <row r="37" spans="1:7" x14ac:dyDescent="0.25">
      <c r="A37" s="19" t="s">
        <v>41</v>
      </c>
      <c r="B37" s="21">
        <f t="shared" si="0"/>
        <v>74</v>
      </c>
      <c r="C37" s="23">
        <v>49</v>
      </c>
      <c r="D37" s="23">
        <v>25</v>
      </c>
      <c r="E37" s="23">
        <f>58+13</f>
        <v>71</v>
      </c>
      <c r="F37" s="23">
        <f>49+5</f>
        <v>54</v>
      </c>
      <c r="G37" s="24">
        <v>80</v>
      </c>
    </row>
    <row r="38" spans="1:7" x14ac:dyDescent="0.25">
      <c r="A38" s="19" t="s">
        <v>42</v>
      </c>
      <c r="B38" s="21">
        <f t="shared" si="0"/>
        <v>68</v>
      </c>
      <c r="C38" s="23">
        <v>46</v>
      </c>
      <c r="D38" s="23">
        <v>22</v>
      </c>
      <c r="E38" s="23">
        <f>43+5</f>
        <v>48</v>
      </c>
      <c r="F38" s="23">
        <v>39</v>
      </c>
      <c r="G38" s="24">
        <v>75</v>
      </c>
    </row>
    <row r="39" spans="1:7" x14ac:dyDescent="0.25">
      <c r="A39" s="20" t="s">
        <v>43</v>
      </c>
      <c r="B39" s="21">
        <f t="shared" si="0"/>
        <v>85</v>
      </c>
      <c r="C39" s="23">
        <v>44</v>
      </c>
      <c r="D39" s="23">
        <v>41</v>
      </c>
      <c r="E39" s="23">
        <v>48</v>
      </c>
      <c r="F39" s="23">
        <f>47+9</f>
        <v>56</v>
      </c>
      <c r="G39" s="24">
        <v>95</v>
      </c>
    </row>
    <row r="40" spans="1:7" x14ac:dyDescent="0.25">
      <c r="A40" s="20" t="s">
        <v>44</v>
      </c>
      <c r="B40" s="21">
        <f t="shared" si="0"/>
        <v>61</v>
      </c>
      <c r="C40" s="21">
        <v>35</v>
      </c>
      <c r="D40" s="21">
        <v>26</v>
      </c>
      <c r="E40" s="21">
        <f>36+9</f>
        <v>45</v>
      </c>
      <c r="F40" s="21">
        <v>36</v>
      </c>
      <c r="G40" s="22">
        <v>69</v>
      </c>
    </row>
    <row r="41" spans="1:7" x14ac:dyDescent="0.25">
      <c r="A41" s="20" t="s">
        <v>45</v>
      </c>
      <c r="B41" s="21">
        <f t="shared" si="0"/>
        <v>74</v>
      </c>
      <c r="C41" s="21">
        <v>49</v>
      </c>
      <c r="D41" s="21">
        <v>25</v>
      </c>
      <c r="E41" s="21">
        <v>48</v>
      </c>
      <c r="F41" s="21">
        <f>35+8</f>
        <v>43</v>
      </c>
      <c r="G41" s="22">
        <v>82</v>
      </c>
    </row>
    <row r="42" spans="1:7" x14ac:dyDescent="0.25">
      <c r="A42" s="20" t="s">
        <v>46</v>
      </c>
      <c r="B42" s="21">
        <f t="shared" si="0"/>
        <v>65</v>
      </c>
      <c r="C42" s="21">
        <v>47</v>
      </c>
      <c r="D42" s="21">
        <v>18</v>
      </c>
      <c r="E42" s="21">
        <f>48+6</f>
        <v>54</v>
      </c>
      <c r="F42" s="21">
        <f>25+8</f>
        <v>33</v>
      </c>
      <c r="G42" s="22">
        <v>76</v>
      </c>
    </row>
    <row r="43" spans="1:7" x14ac:dyDescent="0.25">
      <c r="A43" s="20" t="s">
        <v>47</v>
      </c>
      <c r="B43" s="21">
        <f t="shared" si="0"/>
        <v>79</v>
      </c>
      <c r="C43" s="21">
        <v>49</v>
      </c>
      <c r="D43" s="21">
        <v>30</v>
      </c>
      <c r="E43" s="21">
        <f>48+6</f>
        <v>54</v>
      </c>
      <c r="F43" s="21">
        <f>35+8</f>
        <v>43</v>
      </c>
      <c r="G43" s="22">
        <v>87</v>
      </c>
    </row>
    <row r="44" spans="1:7" x14ac:dyDescent="0.25">
      <c r="A44" s="20" t="s">
        <v>48</v>
      </c>
      <c r="B44" s="21">
        <f t="shared" si="0"/>
        <v>114</v>
      </c>
      <c r="C44" s="21">
        <v>68</v>
      </c>
      <c r="D44" s="21">
        <v>46</v>
      </c>
      <c r="E44" s="21">
        <f>68+9</f>
        <v>77</v>
      </c>
      <c r="F44" s="21">
        <f>38+4</f>
        <v>42</v>
      </c>
      <c r="G44" s="22">
        <v>124</v>
      </c>
    </row>
    <row r="45" spans="1:7" x14ac:dyDescent="0.25">
      <c r="A45" s="19" t="s">
        <v>10</v>
      </c>
      <c r="B45" s="21">
        <f t="shared" si="0"/>
        <v>910</v>
      </c>
      <c r="C45" s="21">
        <f t="shared" ref="C45:G45" si="3">SUM(C33:C44)</f>
        <v>560</v>
      </c>
      <c r="D45" s="21">
        <f t="shared" si="3"/>
        <v>350</v>
      </c>
      <c r="E45" s="21">
        <f t="shared" si="3"/>
        <v>643</v>
      </c>
      <c r="F45" s="21">
        <f t="shared" si="3"/>
        <v>536</v>
      </c>
      <c r="G45" s="22">
        <f t="shared" si="3"/>
        <v>1007</v>
      </c>
    </row>
    <row r="46" spans="1:7" x14ac:dyDescent="0.25">
      <c r="A46" s="19">
        <v>2024</v>
      </c>
      <c r="B46" s="151" t="s">
        <v>49</v>
      </c>
      <c r="C46" s="152"/>
      <c r="D46" s="152"/>
      <c r="E46" s="152"/>
      <c r="F46" s="152"/>
      <c r="G46" s="153"/>
    </row>
    <row r="47" spans="1:7" x14ac:dyDescent="0.25">
      <c r="A47" s="20" t="s">
        <v>37</v>
      </c>
      <c r="B47" s="21">
        <f t="shared" si="0"/>
        <v>209</v>
      </c>
      <c r="C47" s="27">
        <v>61</v>
      </c>
      <c r="D47" s="27">
        <v>148</v>
      </c>
      <c r="E47" s="27">
        <v>73</v>
      </c>
      <c r="F47" s="27">
        <v>262</v>
      </c>
      <c r="G47" s="28">
        <v>273</v>
      </c>
    </row>
    <row r="48" spans="1:7" x14ac:dyDescent="0.25">
      <c r="A48" s="20" t="s">
        <v>38</v>
      </c>
      <c r="B48" s="21">
        <f t="shared" si="0"/>
        <v>230</v>
      </c>
      <c r="C48" s="27">
        <v>52</v>
      </c>
      <c r="D48" s="27">
        <v>178</v>
      </c>
      <c r="E48" s="27">
        <v>60</v>
      </c>
      <c r="F48" s="27">
        <v>325</v>
      </c>
      <c r="G48" s="28">
        <v>293</v>
      </c>
    </row>
    <row r="49" spans="1:7" x14ac:dyDescent="0.25">
      <c r="A49" s="20" t="s">
        <v>39</v>
      </c>
      <c r="B49" s="21">
        <f t="shared" si="0"/>
        <v>239</v>
      </c>
      <c r="C49" s="27">
        <v>60</v>
      </c>
      <c r="D49" s="27">
        <v>179</v>
      </c>
      <c r="E49" s="27">
        <v>64</v>
      </c>
      <c r="F49" s="27">
        <v>279</v>
      </c>
      <c r="G49" s="28">
        <v>320</v>
      </c>
    </row>
    <row r="50" spans="1:7" x14ac:dyDescent="0.25">
      <c r="A50" s="19" t="s">
        <v>40</v>
      </c>
      <c r="B50" s="21">
        <f t="shared" si="0"/>
        <v>294</v>
      </c>
      <c r="C50" s="27">
        <v>96</v>
      </c>
      <c r="D50" s="27">
        <v>198</v>
      </c>
      <c r="E50" s="27">
        <v>109</v>
      </c>
      <c r="F50" s="27">
        <v>378</v>
      </c>
      <c r="G50" s="28">
        <v>408</v>
      </c>
    </row>
    <row r="51" spans="1:7" x14ac:dyDescent="0.25">
      <c r="A51" s="19" t="s">
        <v>41</v>
      </c>
      <c r="B51" s="21">
        <f t="shared" si="0"/>
        <v>340</v>
      </c>
      <c r="C51" s="27">
        <v>85</v>
      </c>
      <c r="D51" s="27">
        <v>255</v>
      </c>
      <c r="E51" s="27">
        <v>98</v>
      </c>
      <c r="F51" s="27">
        <v>333</v>
      </c>
      <c r="G51" s="28">
        <v>403</v>
      </c>
    </row>
    <row r="52" spans="1:7" x14ac:dyDescent="0.25">
      <c r="A52" s="19" t="s">
        <v>42</v>
      </c>
      <c r="B52" s="21">
        <f t="shared" si="0"/>
        <v>319</v>
      </c>
      <c r="C52" s="27">
        <v>72</v>
      </c>
      <c r="D52" s="27">
        <v>247</v>
      </c>
      <c r="E52" s="27">
        <v>80</v>
      </c>
      <c r="F52" s="27">
        <v>385</v>
      </c>
      <c r="G52" s="28">
        <v>419</v>
      </c>
    </row>
    <row r="53" spans="1:7" x14ac:dyDescent="0.25">
      <c r="A53" s="20" t="s">
        <v>43</v>
      </c>
      <c r="B53" s="21">
        <f t="shared" si="0"/>
        <v>280</v>
      </c>
      <c r="C53" s="29">
        <v>71</v>
      </c>
      <c r="D53" s="29">
        <v>209</v>
      </c>
      <c r="E53" s="29">
        <v>78</v>
      </c>
      <c r="F53" s="29">
        <v>384</v>
      </c>
      <c r="G53" s="30">
        <v>383</v>
      </c>
    </row>
    <row r="54" spans="1:7" x14ac:dyDescent="0.25">
      <c r="A54" s="20" t="s">
        <v>44</v>
      </c>
      <c r="B54" s="21">
        <f t="shared" si="0"/>
        <v>267</v>
      </c>
      <c r="C54" s="29">
        <v>67</v>
      </c>
      <c r="D54" s="29">
        <v>200</v>
      </c>
      <c r="E54" s="29">
        <v>93</v>
      </c>
      <c r="F54" s="29">
        <v>365</v>
      </c>
      <c r="G54" s="30">
        <v>364</v>
      </c>
    </row>
    <row r="55" spans="1:7" x14ac:dyDescent="0.25">
      <c r="A55" s="20" t="s">
        <v>45</v>
      </c>
      <c r="B55" s="21">
        <f t="shared" si="0"/>
        <v>286</v>
      </c>
      <c r="C55" s="29">
        <v>72</v>
      </c>
      <c r="D55" s="29">
        <v>214</v>
      </c>
      <c r="E55" s="29">
        <v>80</v>
      </c>
      <c r="F55" s="29">
        <v>302</v>
      </c>
      <c r="G55" s="30">
        <v>390</v>
      </c>
    </row>
    <row r="56" spans="1:7" x14ac:dyDescent="0.25">
      <c r="A56" s="20" t="s">
        <v>46</v>
      </c>
      <c r="B56" s="21">
        <f t="shared" si="0"/>
        <v>326</v>
      </c>
      <c r="C56" s="29">
        <v>84</v>
      </c>
      <c r="D56" s="29">
        <v>242</v>
      </c>
      <c r="E56" s="29">
        <v>90</v>
      </c>
      <c r="F56" s="29">
        <v>418</v>
      </c>
      <c r="G56" s="30">
        <v>440</v>
      </c>
    </row>
    <row r="57" spans="1:7" x14ac:dyDescent="0.25">
      <c r="A57" s="20" t="s">
        <v>47</v>
      </c>
      <c r="B57" s="21">
        <f t="shared" si="0"/>
        <v>279</v>
      </c>
      <c r="C57" s="29">
        <v>79</v>
      </c>
      <c r="D57" s="29">
        <v>200</v>
      </c>
      <c r="E57" s="29">
        <v>93</v>
      </c>
      <c r="F57" s="29">
        <v>350</v>
      </c>
      <c r="G57" s="30">
        <v>403</v>
      </c>
    </row>
    <row r="58" spans="1:7" x14ac:dyDescent="0.25">
      <c r="A58" s="20" t="s">
        <v>48</v>
      </c>
      <c r="B58" s="21">
        <f t="shared" si="0"/>
        <v>280</v>
      </c>
      <c r="C58" s="29">
        <v>81</v>
      </c>
      <c r="D58" s="29">
        <v>199</v>
      </c>
      <c r="E58" s="29">
        <v>96</v>
      </c>
      <c r="F58" s="29">
        <v>378</v>
      </c>
      <c r="G58" s="30">
        <v>393</v>
      </c>
    </row>
    <row r="59" spans="1:7" x14ac:dyDescent="0.25">
      <c r="A59" s="19" t="s">
        <v>10</v>
      </c>
      <c r="B59" s="21">
        <f t="shared" si="0"/>
        <v>3349</v>
      </c>
      <c r="C59" s="21">
        <f t="shared" ref="C59:G59" si="4">SUM(C47:C58)</f>
        <v>880</v>
      </c>
      <c r="D59" s="21">
        <f t="shared" si="4"/>
        <v>2469</v>
      </c>
      <c r="E59" s="21">
        <f t="shared" si="4"/>
        <v>1014</v>
      </c>
      <c r="F59" s="21">
        <f t="shared" si="4"/>
        <v>4159</v>
      </c>
      <c r="G59" s="22">
        <f t="shared" si="4"/>
        <v>4489</v>
      </c>
    </row>
    <row r="60" spans="1:7" x14ac:dyDescent="0.25">
      <c r="A60" s="19">
        <v>2024</v>
      </c>
      <c r="B60" s="138" t="s">
        <v>12</v>
      </c>
      <c r="C60" s="139"/>
      <c r="D60" s="139"/>
      <c r="E60" s="139"/>
      <c r="F60" s="139"/>
      <c r="G60" s="140"/>
    </row>
    <row r="61" spans="1:7" x14ac:dyDescent="0.25">
      <c r="A61" s="20" t="s">
        <v>37</v>
      </c>
      <c r="B61" s="21">
        <f t="shared" si="0"/>
        <v>30</v>
      </c>
      <c r="C61" s="31">
        <v>17</v>
      </c>
      <c r="D61" s="31">
        <v>13</v>
      </c>
      <c r="E61" s="31">
        <f>15+5</f>
        <v>20</v>
      </c>
      <c r="F61" s="31">
        <f>29+12</f>
        <v>41</v>
      </c>
      <c r="G61" s="32">
        <v>50</v>
      </c>
    </row>
    <row r="62" spans="1:7" x14ac:dyDescent="0.25">
      <c r="A62" s="20" t="s">
        <v>38</v>
      </c>
      <c r="B62" s="21">
        <f t="shared" si="0"/>
        <v>18</v>
      </c>
      <c r="C62" s="31">
        <v>11</v>
      </c>
      <c r="D62" s="31">
        <v>7</v>
      </c>
      <c r="E62" s="31">
        <v>12</v>
      </c>
      <c r="F62" s="31">
        <v>25</v>
      </c>
      <c r="G62" s="32">
        <v>28</v>
      </c>
    </row>
    <row r="63" spans="1:7" x14ac:dyDescent="0.25">
      <c r="A63" s="20" t="s">
        <v>39</v>
      </c>
      <c r="B63" s="21">
        <f t="shared" si="0"/>
        <v>27</v>
      </c>
      <c r="C63" s="27">
        <v>15</v>
      </c>
      <c r="D63" s="27">
        <v>12</v>
      </c>
      <c r="E63" s="27">
        <f>17+7</f>
        <v>24</v>
      </c>
      <c r="F63" s="27">
        <v>29</v>
      </c>
      <c r="G63" s="28">
        <v>40</v>
      </c>
    </row>
    <row r="64" spans="1:7" x14ac:dyDescent="0.25">
      <c r="A64" s="19" t="s">
        <v>40</v>
      </c>
      <c r="B64" s="21">
        <f t="shared" si="0"/>
        <v>26</v>
      </c>
      <c r="C64" s="27">
        <v>9</v>
      </c>
      <c r="D64" s="27">
        <v>17</v>
      </c>
      <c r="E64" s="27">
        <v>11</v>
      </c>
      <c r="F64" s="27">
        <v>39</v>
      </c>
      <c r="G64" s="28">
        <v>41</v>
      </c>
    </row>
    <row r="65" spans="1:7" x14ac:dyDescent="0.25">
      <c r="A65" s="19" t="s">
        <v>41</v>
      </c>
      <c r="B65" s="21">
        <f t="shared" si="0"/>
        <v>19</v>
      </c>
      <c r="C65" s="27">
        <v>9</v>
      </c>
      <c r="D65" s="27">
        <v>10</v>
      </c>
      <c r="E65" s="27">
        <v>9</v>
      </c>
      <c r="F65" s="27">
        <f>17+5</f>
        <v>22</v>
      </c>
      <c r="G65" s="28">
        <v>32</v>
      </c>
    </row>
    <row r="66" spans="1:7" x14ac:dyDescent="0.25">
      <c r="A66" s="19" t="s">
        <v>42</v>
      </c>
      <c r="B66" s="21">
        <f t="shared" si="0"/>
        <v>38</v>
      </c>
      <c r="C66" s="27">
        <v>13</v>
      </c>
      <c r="D66" s="27">
        <v>25</v>
      </c>
      <c r="E66" s="27">
        <v>22</v>
      </c>
      <c r="F66" s="27">
        <v>82</v>
      </c>
      <c r="G66" s="28">
        <v>55</v>
      </c>
    </row>
    <row r="67" spans="1:7" x14ac:dyDescent="0.25">
      <c r="A67" s="20" t="s">
        <v>43</v>
      </c>
      <c r="B67" s="21">
        <f t="shared" si="0"/>
        <v>37</v>
      </c>
      <c r="C67" s="33">
        <v>29</v>
      </c>
      <c r="D67" s="33">
        <v>8</v>
      </c>
      <c r="E67" s="33">
        <f>27+8</f>
        <v>35</v>
      </c>
      <c r="F67" s="33">
        <v>50</v>
      </c>
      <c r="G67" s="34">
        <v>57</v>
      </c>
    </row>
    <row r="68" spans="1:7" x14ac:dyDescent="0.25">
      <c r="A68" s="20" t="s">
        <v>44</v>
      </c>
      <c r="B68" s="21">
        <f t="shared" si="0"/>
        <v>29</v>
      </c>
      <c r="C68" s="33">
        <v>16</v>
      </c>
      <c r="D68" s="33">
        <v>13</v>
      </c>
      <c r="E68" s="33">
        <v>26</v>
      </c>
      <c r="F68" s="33">
        <v>66</v>
      </c>
      <c r="G68" s="34">
        <v>44</v>
      </c>
    </row>
    <row r="69" spans="1:7" x14ac:dyDescent="0.25">
      <c r="A69" s="20" t="s">
        <v>45</v>
      </c>
      <c r="B69" s="21">
        <f t="shared" si="0"/>
        <v>32</v>
      </c>
      <c r="C69" s="33">
        <v>13</v>
      </c>
      <c r="D69" s="33">
        <v>19</v>
      </c>
      <c r="E69" s="33">
        <v>16</v>
      </c>
      <c r="F69" s="33">
        <v>56</v>
      </c>
      <c r="G69" s="34">
        <v>44</v>
      </c>
    </row>
    <row r="70" spans="1:7" x14ac:dyDescent="0.25">
      <c r="A70" s="20" t="s">
        <v>46</v>
      </c>
      <c r="B70" s="21">
        <f t="shared" ref="B70:B73" si="5">SUM(C70+D70)</f>
        <v>37</v>
      </c>
      <c r="C70" s="33">
        <v>12</v>
      </c>
      <c r="D70" s="33">
        <v>25</v>
      </c>
      <c r="E70" s="33">
        <v>20</v>
      </c>
      <c r="F70" s="33">
        <v>28</v>
      </c>
      <c r="G70" s="34">
        <v>51</v>
      </c>
    </row>
    <row r="71" spans="1:7" x14ac:dyDescent="0.25">
      <c r="A71" s="20" t="s">
        <v>47</v>
      </c>
      <c r="B71" s="21">
        <f t="shared" si="5"/>
        <v>23</v>
      </c>
      <c r="C71" s="33">
        <v>13</v>
      </c>
      <c r="D71" s="33">
        <v>10</v>
      </c>
      <c r="E71" s="33">
        <v>16</v>
      </c>
      <c r="F71" s="33">
        <v>23</v>
      </c>
      <c r="G71" s="34">
        <v>30</v>
      </c>
    </row>
    <row r="72" spans="1:7" x14ac:dyDescent="0.25">
      <c r="A72" s="20" t="s">
        <v>48</v>
      </c>
      <c r="B72" s="21">
        <f t="shared" si="5"/>
        <v>29</v>
      </c>
      <c r="C72" s="33">
        <v>17</v>
      </c>
      <c r="D72" s="33">
        <v>12</v>
      </c>
      <c r="E72" s="33">
        <f>13+7</f>
        <v>20</v>
      </c>
      <c r="F72" s="33">
        <v>31</v>
      </c>
      <c r="G72" s="34">
        <v>43</v>
      </c>
    </row>
    <row r="73" spans="1:7" x14ac:dyDescent="0.25">
      <c r="A73" s="19" t="s">
        <v>10</v>
      </c>
      <c r="B73" s="21">
        <f t="shared" si="5"/>
        <v>345</v>
      </c>
      <c r="C73" s="21">
        <f t="shared" ref="C73:G73" si="6">SUM(C61:C72)</f>
        <v>174</v>
      </c>
      <c r="D73" s="21">
        <f t="shared" si="6"/>
        <v>171</v>
      </c>
      <c r="E73" s="21">
        <f t="shared" si="6"/>
        <v>231</v>
      </c>
      <c r="F73" s="21">
        <f t="shared" si="6"/>
        <v>492</v>
      </c>
      <c r="G73" s="22">
        <f t="shared" si="6"/>
        <v>515</v>
      </c>
    </row>
    <row r="74" spans="1:7" x14ac:dyDescent="0.25">
      <c r="A74" s="19">
        <v>2024</v>
      </c>
      <c r="B74" s="138" t="s">
        <v>18</v>
      </c>
      <c r="C74" s="139"/>
      <c r="D74" s="139"/>
      <c r="E74" s="139"/>
      <c r="F74" s="139"/>
      <c r="G74" s="140"/>
    </row>
    <row r="75" spans="1:7" x14ac:dyDescent="0.25">
      <c r="A75" s="20" t="s">
        <v>37</v>
      </c>
      <c r="B75" s="31">
        <f>SUM(B5+B19+B33+B47+B61)</f>
        <v>727</v>
      </c>
      <c r="C75" s="31">
        <f t="shared" ref="C75:G75" si="7">SUM(C5+C19+C33+C47+C61)</f>
        <v>433</v>
      </c>
      <c r="D75" s="31">
        <f t="shared" si="7"/>
        <v>294</v>
      </c>
      <c r="E75" s="31">
        <f t="shared" si="7"/>
        <v>493</v>
      </c>
      <c r="F75" s="31">
        <f t="shared" si="7"/>
        <v>836</v>
      </c>
      <c r="G75" s="32">
        <f t="shared" si="7"/>
        <v>1054</v>
      </c>
    </row>
    <row r="76" spans="1:7" x14ac:dyDescent="0.25">
      <c r="A76" s="20" t="s">
        <v>38</v>
      </c>
      <c r="B76" s="31">
        <f t="shared" ref="B76:G87" si="8">SUM(B6+B20+B34+B48+B62)</f>
        <v>711</v>
      </c>
      <c r="C76" s="31">
        <f t="shared" si="8"/>
        <v>371</v>
      </c>
      <c r="D76" s="31">
        <f t="shared" si="8"/>
        <v>340</v>
      </c>
      <c r="E76" s="31">
        <f t="shared" si="8"/>
        <v>423</v>
      </c>
      <c r="F76" s="31">
        <f t="shared" si="8"/>
        <v>744</v>
      </c>
      <c r="G76" s="32">
        <f t="shared" si="8"/>
        <v>1033</v>
      </c>
    </row>
    <row r="77" spans="1:7" x14ac:dyDescent="0.25">
      <c r="A77" s="20" t="s">
        <v>39</v>
      </c>
      <c r="B77" s="31">
        <f t="shared" si="8"/>
        <v>761</v>
      </c>
      <c r="C77" s="31">
        <f t="shared" si="8"/>
        <v>428</v>
      </c>
      <c r="D77" s="31">
        <f t="shared" si="8"/>
        <v>333</v>
      </c>
      <c r="E77" s="31">
        <f t="shared" si="8"/>
        <v>488</v>
      </c>
      <c r="F77" s="31">
        <f t="shared" si="8"/>
        <v>828</v>
      </c>
      <c r="G77" s="32">
        <f t="shared" si="8"/>
        <v>1148</v>
      </c>
    </row>
    <row r="78" spans="1:7" x14ac:dyDescent="0.25">
      <c r="A78" s="19" t="s">
        <v>40</v>
      </c>
      <c r="B78" s="31">
        <f t="shared" si="8"/>
        <v>903</v>
      </c>
      <c r="C78" s="31">
        <f t="shared" si="8"/>
        <v>510</v>
      </c>
      <c r="D78" s="31">
        <f t="shared" si="8"/>
        <v>393</v>
      </c>
      <c r="E78" s="31">
        <f t="shared" si="8"/>
        <v>594</v>
      </c>
      <c r="F78" s="31">
        <f t="shared" si="8"/>
        <v>1284</v>
      </c>
      <c r="G78" s="32">
        <f t="shared" si="8"/>
        <v>1378</v>
      </c>
    </row>
    <row r="79" spans="1:7" x14ac:dyDescent="0.25">
      <c r="A79" s="19" t="s">
        <v>41</v>
      </c>
      <c r="B79" s="31">
        <f t="shared" si="8"/>
        <v>918</v>
      </c>
      <c r="C79" s="31">
        <f t="shared" si="8"/>
        <v>505</v>
      </c>
      <c r="D79" s="31">
        <f t="shared" si="8"/>
        <v>413</v>
      </c>
      <c r="E79" s="31">
        <f t="shared" si="8"/>
        <v>619</v>
      </c>
      <c r="F79" s="31">
        <f t="shared" si="8"/>
        <v>1015</v>
      </c>
      <c r="G79" s="32">
        <f t="shared" si="8"/>
        <v>1345</v>
      </c>
    </row>
    <row r="80" spans="1:7" x14ac:dyDescent="0.25">
      <c r="A80" s="19" t="s">
        <v>42</v>
      </c>
      <c r="B80" s="31">
        <f t="shared" si="8"/>
        <v>852</v>
      </c>
      <c r="C80" s="31">
        <f t="shared" si="8"/>
        <v>454</v>
      </c>
      <c r="D80" s="31">
        <f t="shared" si="8"/>
        <v>398</v>
      </c>
      <c r="E80" s="31">
        <f t="shared" si="8"/>
        <v>541</v>
      </c>
      <c r="F80" s="31">
        <f t="shared" si="8"/>
        <v>1030</v>
      </c>
      <c r="G80" s="32">
        <f t="shared" si="8"/>
        <v>1284</v>
      </c>
    </row>
    <row r="81" spans="1:7" x14ac:dyDescent="0.25">
      <c r="A81" s="20" t="s">
        <v>43</v>
      </c>
      <c r="B81" s="31">
        <f t="shared" si="8"/>
        <v>797</v>
      </c>
      <c r="C81" s="31">
        <f t="shared" si="8"/>
        <v>425</v>
      </c>
      <c r="D81" s="31">
        <f t="shared" si="8"/>
        <v>372</v>
      </c>
      <c r="E81" s="31">
        <f t="shared" si="8"/>
        <v>493</v>
      </c>
      <c r="F81" s="31">
        <f t="shared" si="8"/>
        <v>1088</v>
      </c>
      <c r="G81" s="32">
        <f t="shared" si="8"/>
        <v>1223</v>
      </c>
    </row>
    <row r="82" spans="1:7" x14ac:dyDescent="0.25">
      <c r="A82" s="20" t="s">
        <v>44</v>
      </c>
      <c r="B82" s="31">
        <f t="shared" si="8"/>
        <v>754</v>
      </c>
      <c r="C82" s="31">
        <f t="shared" si="8"/>
        <v>407</v>
      </c>
      <c r="D82" s="31">
        <f t="shared" si="8"/>
        <v>347</v>
      </c>
      <c r="E82" s="31">
        <f t="shared" si="8"/>
        <v>540</v>
      </c>
      <c r="F82" s="31">
        <f t="shared" si="8"/>
        <v>948</v>
      </c>
      <c r="G82" s="32">
        <f t="shared" si="8"/>
        <v>1145</v>
      </c>
    </row>
    <row r="83" spans="1:7" x14ac:dyDescent="0.25">
      <c r="A83" s="20" t="s">
        <v>45</v>
      </c>
      <c r="B83" s="31">
        <f t="shared" si="8"/>
        <v>871</v>
      </c>
      <c r="C83" s="31">
        <f t="shared" si="8"/>
        <v>484</v>
      </c>
      <c r="D83" s="31">
        <f t="shared" si="8"/>
        <v>387</v>
      </c>
      <c r="E83" s="31">
        <f t="shared" si="8"/>
        <v>549</v>
      </c>
      <c r="F83" s="31">
        <f t="shared" si="8"/>
        <v>953</v>
      </c>
      <c r="G83" s="32">
        <f t="shared" si="8"/>
        <v>1378</v>
      </c>
    </row>
    <row r="84" spans="1:7" x14ac:dyDescent="0.25">
      <c r="A84" s="20" t="s">
        <v>46</v>
      </c>
      <c r="B84" s="31">
        <f t="shared" si="8"/>
        <v>905</v>
      </c>
      <c r="C84" s="31">
        <f t="shared" si="8"/>
        <v>525</v>
      </c>
      <c r="D84" s="31">
        <f t="shared" si="8"/>
        <v>380</v>
      </c>
      <c r="E84" s="31">
        <f t="shared" si="8"/>
        <v>586</v>
      </c>
      <c r="F84" s="31">
        <f t="shared" si="8"/>
        <v>975</v>
      </c>
      <c r="G84" s="32">
        <f t="shared" si="8"/>
        <v>1403</v>
      </c>
    </row>
    <row r="85" spans="1:7" x14ac:dyDescent="0.25">
      <c r="A85" s="20" t="s">
        <v>47</v>
      </c>
      <c r="B85" s="31">
        <f t="shared" si="8"/>
        <v>895</v>
      </c>
      <c r="C85" s="31">
        <f t="shared" si="8"/>
        <v>521</v>
      </c>
      <c r="D85" s="31">
        <f t="shared" si="8"/>
        <v>374</v>
      </c>
      <c r="E85" s="31">
        <f t="shared" si="8"/>
        <v>600</v>
      </c>
      <c r="F85" s="31">
        <f t="shared" si="8"/>
        <v>1000</v>
      </c>
      <c r="G85" s="32">
        <f t="shared" si="8"/>
        <v>1400</v>
      </c>
    </row>
    <row r="86" spans="1:7" x14ac:dyDescent="0.25">
      <c r="A86" s="20" t="s">
        <v>48</v>
      </c>
      <c r="B86" s="31">
        <f t="shared" si="8"/>
        <v>936</v>
      </c>
      <c r="C86" s="31">
        <f t="shared" si="8"/>
        <v>540</v>
      </c>
      <c r="D86" s="31">
        <f t="shared" si="8"/>
        <v>396</v>
      </c>
      <c r="E86" s="31">
        <f t="shared" si="8"/>
        <v>622</v>
      </c>
      <c r="F86" s="31">
        <f t="shared" si="8"/>
        <v>1093</v>
      </c>
      <c r="G86" s="32">
        <f t="shared" si="8"/>
        <v>1422</v>
      </c>
    </row>
    <row r="87" spans="1:7" ht="15.75" thickBot="1" x14ac:dyDescent="0.3">
      <c r="A87" s="35" t="s">
        <v>10</v>
      </c>
      <c r="B87" s="36">
        <f>SUM(B17+B31+B45+B59+B73)</f>
        <v>10030</v>
      </c>
      <c r="C87" s="36">
        <f t="shared" si="8"/>
        <v>5603</v>
      </c>
      <c r="D87" s="36">
        <f t="shared" si="8"/>
        <v>4427</v>
      </c>
      <c r="E87" s="36">
        <f t="shared" si="8"/>
        <v>6548</v>
      </c>
      <c r="F87" s="36">
        <f t="shared" si="8"/>
        <v>11794</v>
      </c>
      <c r="G87" s="37">
        <f t="shared" si="8"/>
        <v>15213</v>
      </c>
    </row>
  </sheetData>
  <mergeCells count="12">
    <mergeCell ref="B74:G74"/>
    <mergeCell ref="A1:G1"/>
    <mergeCell ref="A2:A3"/>
    <mergeCell ref="B2:B3"/>
    <mergeCell ref="C2:D2"/>
    <mergeCell ref="E2:F2"/>
    <mergeCell ref="G2:G3"/>
    <mergeCell ref="B4:G4"/>
    <mergeCell ref="B18:G18"/>
    <mergeCell ref="B32:G32"/>
    <mergeCell ref="B46:G46"/>
    <mergeCell ref="B60:G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B42" sqref="B42:K53"/>
    </sheetView>
  </sheetViews>
  <sheetFormatPr defaultRowHeight="15" x14ac:dyDescent="0.25"/>
  <cols>
    <col min="1" max="1" width="22.7109375" customWidth="1"/>
  </cols>
  <sheetData>
    <row r="1" spans="1:16" ht="16.5" thickBot="1" x14ac:dyDescent="0.3">
      <c r="A1" s="175" t="s">
        <v>50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7"/>
    </row>
    <row r="2" spans="1:16" ht="16.5" thickBot="1" x14ac:dyDescent="0.3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80"/>
    </row>
    <row r="3" spans="1:16" ht="26.25" thickBot="1" x14ac:dyDescent="0.3">
      <c r="A3" s="38" t="s">
        <v>52</v>
      </c>
      <c r="B3" s="39" t="s">
        <v>53</v>
      </c>
      <c r="C3" s="39" t="s">
        <v>54</v>
      </c>
      <c r="D3" s="39" t="s">
        <v>55</v>
      </c>
      <c r="E3" s="39" t="s">
        <v>56</v>
      </c>
      <c r="F3" s="39" t="s">
        <v>57</v>
      </c>
      <c r="G3" s="39" t="s">
        <v>58</v>
      </c>
      <c r="H3" s="39" t="s">
        <v>59</v>
      </c>
      <c r="I3" s="39" t="s">
        <v>60</v>
      </c>
      <c r="J3" s="39" t="s">
        <v>61</v>
      </c>
      <c r="K3" s="39" t="s">
        <v>62</v>
      </c>
      <c r="L3" s="39" t="s">
        <v>63</v>
      </c>
      <c r="M3" s="39" t="s">
        <v>64</v>
      </c>
      <c r="N3" s="39" t="s">
        <v>65</v>
      </c>
      <c r="O3" s="39" t="s">
        <v>66</v>
      </c>
      <c r="P3" s="40" t="s">
        <v>67</v>
      </c>
    </row>
    <row r="4" spans="1:16" x14ac:dyDescent="0.25">
      <c r="A4" s="41" t="s">
        <v>37</v>
      </c>
      <c r="B4" s="42">
        <v>630340</v>
      </c>
      <c r="C4" s="42">
        <v>606692</v>
      </c>
      <c r="D4" s="42">
        <v>569639</v>
      </c>
      <c r="E4" s="42">
        <v>531307</v>
      </c>
      <c r="F4" s="42">
        <v>528329</v>
      </c>
      <c r="G4" s="43">
        <v>544808</v>
      </c>
      <c r="H4" s="43">
        <v>567545</v>
      </c>
      <c r="I4" s="43">
        <v>531564</v>
      </c>
      <c r="J4" s="43">
        <v>530398</v>
      </c>
      <c r="K4" s="43">
        <v>567810</v>
      </c>
      <c r="L4" s="43">
        <v>531323</v>
      </c>
      <c r="M4" s="43">
        <v>529406</v>
      </c>
      <c r="N4" s="43">
        <v>506796</v>
      </c>
      <c r="O4" s="44">
        <v>15708</v>
      </c>
      <c r="P4" s="45">
        <v>475318</v>
      </c>
    </row>
    <row r="5" spans="1:16" x14ac:dyDescent="0.25">
      <c r="A5" s="46" t="s">
        <v>68</v>
      </c>
      <c r="B5" s="47">
        <v>649400</v>
      </c>
      <c r="C5" s="47">
        <v>600063</v>
      </c>
      <c r="D5" s="47">
        <v>646713</v>
      </c>
      <c r="E5" s="47">
        <v>611381</v>
      </c>
      <c r="F5" s="47">
        <v>608404</v>
      </c>
      <c r="G5" s="48">
        <v>626047</v>
      </c>
      <c r="H5" s="48">
        <v>649861</v>
      </c>
      <c r="I5" s="48">
        <v>612743</v>
      </c>
      <c r="J5" s="48">
        <v>611071</v>
      </c>
      <c r="K5" s="48">
        <v>644927</v>
      </c>
      <c r="L5" s="48">
        <v>610574</v>
      </c>
      <c r="M5" s="48">
        <v>606454</v>
      </c>
      <c r="N5" s="48">
        <v>625075</v>
      </c>
      <c r="O5" s="49">
        <v>14350</v>
      </c>
      <c r="P5" s="50">
        <v>633307</v>
      </c>
    </row>
    <row r="6" spans="1:16" x14ac:dyDescent="0.25">
      <c r="A6" s="46" t="s">
        <v>39</v>
      </c>
      <c r="B6" s="47">
        <v>623031</v>
      </c>
      <c r="C6" s="47">
        <v>582243</v>
      </c>
      <c r="D6" s="47">
        <v>602920</v>
      </c>
      <c r="E6" s="47">
        <v>550680</v>
      </c>
      <c r="F6" s="47">
        <v>560680</v>
      </c>
      <c r="G6" s="48">
        <v>574946</v>
      </c>
      <c r="H6" s="48">
        <v>599737</v>
      </c>
      <c r="I6" s="48">
        <v>557979</v>
      </c>
      <c r="J6" s="48">
        <v>560105</v>
      </c>
      <c r="K6" s="48">
        <v>617302</v>
      </c>
      <c r="L6" s="48">
        <v>556926</v>
      </c>
      <c r="M6" s="48">
        <v>563456</v>
      </c>
      <c r="N6" s="48">
        <v>594813</v>
      </c>
      <c r="O6" s="49">
        <v>556007</v>
      </c>
      <c r="P6" s="50">
        <v>533489</v>
      </c>
    </row>
    <row r="7" spans="1:16" x14ac:dyDescent="0.25">
      <c r="A7" s="46" t="s">
        <v>40</v>
      </c>
      <c r="B7" s="47">
        <v>587939</v>
      </c>
      <c r="C7" s="47">
        <v>574014</v>
      </c>
      <c r="D7" s="47">
        <v>581385</v>
      </c>
      <c r="E7" s="47">
        <v>545851</v>
      </c>
      <c r="F7" s="47">
        <v>587400</v>
      </c>
      <c r="G7" s="48">
        <v>560425</v>
      </c>
      <c r="H7" s="48">
        <v>563772</v>
      </c>
      <c r="I7" s="48">
        <v>531065</v>
      </c>
      <c r="J7" s="48">
        <v>533917</v>
      </c>
      <c r="K7" s="48">
        <v>544586</v>
      </c>
      <c r="L7" s="48">
        <v>545281</v>
      </c>
      <c r="M7" s="48">
        <v>545281</v>
      </c>
      <c r="N7" s="48">
        <v>572556</v>
      </c>
      <c r="O7" s="49">
        <v>544281</v>
      </c>
      <c r="P7" s="50">
        <v>534373</v>
      </c>
    </row>
    <row r="8" spans="1:16" x14ac:dyDescent="0.25">
      <c r="A8" s="46" t="s">
        <v>41</v>
      </c>
      <c r="B8" s="47">
        <v>614824</v>
      </c>
      <c r="C8" s="47">
        <v>556736</v>
      </c>
      <c r="D8" s="47">
        <v>621290</v>
      </c>
      <c r="E8" s="47">
        <v>577068</v>
      </c>
      <c r="F8" s="47">
        <v>580219</v>
      </c>
      <c r="G8" s="48">
        <v>600578</v>
      </c>
      <c r="H8" s="48">
        <v>590303</v>
      </c>
      <c r="I8" s="48">
        <v>552814</v>
      </c>
      <c r="J8" s="48">
        <v>557168</v>
      </c>
      <c r="K8" s="48">
        <v>612498</v>
      </c>
      <c r="L8" s="48">
        <v>576347</v>
      </c>
      <c r="M8" s="48">
        <v>578609</v>
      </c>
      <c r="N8" s="48">
        <v>605031</v>
      </c>
      <c r="O8" s="49">
        <v>570083</v>
      </c>
      <c r="P8" s="50">
        <v>602846</v>
      </c>
    </row>
    <row r="9" spans="1:16" x14ac:dyDescent="0.25">
      <c r="A9" s="46" t="s">
        <v>42</v>
      </c>
      <c r="B9" s="47">
        <v>578087</v>
      </c>
      <c r="C9" s="47">
        <v>542346</v>
      </c>
      <c r="D9" s="47">
        <v>538467</v>
      </c>
      <c r="E9" s="47">
        <v>525231</v>
      </c>
      <c r="F9" s="47">
        <v>530434</v>
      </c>
      <c r="G9" s="48">
        <v>547451</v>
      </c>
      <c r="H9" s="48">
        <v>530990</v>
      </c>
      <c r="I9" s="48">
        <v>517918</v>
      </c>
      <c r="J9" s="48">
        <v>523138</v>
      </c>
      <c r="K9" s="48">
        <v>539242</v>
      </c>
      <c r="L9" s="48">
        <v>524676</v>
      </c>
      <c r="M9" s="48">
        <v>529759</v>
      </c>
      <c r="N9" s="48">
        <v>530990</v>
      </c>
      <c r="O9" s="49">
        <v>517918</v>
      </c>
      <c r="P9" s="50">
        <v>536947</v>
      </c>
    </row>
    <row r="10" spans="1:16" x14ac:dyDescent="0.25">
      <c r="A10" s="46" t="s">
        <v>43</v>
      </c>
      <c r="B10" s="47">
        <v>642556</v>
      </c>
      <c r="C10" s="47">
        <v>600365</v>
      </c>
      <c r="D10" s="47">
        <v>590784</v>
      </c>
      <c r="E10" s="47">
        <v>556711</v>
      </c>
      <c r="F10" s="47">
        <v>572257</v>
      </c>
      <c r="G10" s="48">
        <v>596824</v>
      </c>
      <c r="H10" s="48">
        <v>588112</v>
      </c>
      <c r="I10" s="48">
        <v>555556</v>
      </c>
      <c r="J10" s="48">
        <v>570832</v>
      </c>
      <c r="K10" s="48">
        <v>590373</v>
      </c>
      <c r="L10" s="48">
        <v>555215</v>
      </c>
      <c r="M10" s="48">
        <v>569153</v>
      </c>
      <c r="N10" s="48">
        <v>589015</v>
      </c>
      <c r="O10" s="49">
        <v>554559</v>
      </c>
      <c r="P10" s="50">
        <v>608600</v>
      </c>
    </row>
    <row r="11" spans="1:16" x14ac:dyDescent="0.25">
      <c r="A11" s="46" t="s">
        <v>44</v>
      </c>
      <c r="B11" s="47">
        <v>664905</v>
      </c>
      <c r="C11" s="47">
        <v>586841</v>
      </c>
      <c r="D11" s="47">
        <v>553898</v>
      </c>
      <c r="E11" s="47">
        <v>523975</v>
      </c>
      <c r="F11" s="47">
        <v>532087</v>
      </c>
      <c r="G11" s="48">
        <v>543656</v>
      </c>
      <c r="H11" s="48">
        <v>551336</v>
      </c>
      <c r="I11" s="48">
        <v>523366</v>
      </c>
      <c r="J11" s="48">
        <v>530319</v>
      </c>
      <c r="K11" s="48">
        <v>550947</v>
      </c>
      <c r="L11" s="48">
        <v>522646</v>
      </c>
      <c r="M11" s="48">
        <v>529907</v>
      </c>
      <c r="N11" s="48">
        <v>550180</v>
      </c>
      <c r="O11" s="49">
        <v>522658</v>
      </c>
      <c r="P11" s="50">
        <v>571198</v>
      </c>
    </row>
    <row r="12" spans="1:16" x14ac:dyDescent="0.25">
      <c r="A12" s="46" t="s">
        <v>45</v>
      </c>
      <c r="B12" s="47">
        <v>676668</v>
      </c>
      <c r="C12" s="47">
        <v>637634</v>
      </c>
      <c r="D12" s="47">
        <v>584020</v>
      </c>
      <c r="E12" s="47">
        <v>524034</v>
      </c>
      <c r="F12" s="47">
        <v>528434</v>
      </c>
      <c r="G12" s="48">
        <v>535239</v>
      </c>
      <c r="H12" s="48">
        <v>580524</v>
      </c>
      <c r="I12" s="48">
        <v>526681</v>
      </c>
      <c r="J12" s="48">
        <v>525541</v>
      </c>
      <c r="K12" s="48">
        <v>580035</v>
      </c>
      <c r="L12" s="48">
        <v>522558</v>
      </c>
      <c r="M12" s="48">
        <v>525005</v>
      </c>
      <c r="N12" s="48">
        <v>580113</v>
      </c>
      <c r="O12" s="49">
        <v>523201</v>
      </c>
      <c r="P12" s="50">
        <v>548026</v>
      </c>
    </row>
    <row r="13" spans="1:16" x14ac:dyDescent="0.25">
      <c r="A13" s="46" t="s">
        <v>46</v>
      </c>
      <c r="B13" s="47">
        <v>709624</v>
      </c>
      <c r="C13" s="47">
        <v>655961</v>
      </c>
      <c r="D13" s="47">
        <v>772844</v>
      </c>
      <c r="E13" s="47">
        <v>636128</v>
      </c>
      <c r="F13" s="47">
        <v>632775</v>
      </c>
      <c r="G13" s="48">
        <v>685315</v>
      </c>
      <c r="H13" s="48">
        <v>775262</v>
      </c>
      <c r="I13" s="48">
        <v>640809</v>
      </c>
      <c r="J13" s="48">
        <v>632972</v>
      </c>
      <c r="K13" s="48">
        <v>712550</v>
      </c>
      <c r="L13" s="48">
        <v>613970</v>
      </c>
      <c r="M13" s="48">
        <v>606432</v>
      </c>
      <c r="N13" s="48">
        <v>816903</v>
      </c>
      <c r="O13" s="49">
        <v>636140</v>
      </c>
      <c r="P13" s="50">
        <v>747609</v>
      </c>
    </row>
    <row r="14" spans="1:16" x14ac:dyDescent="0.25">
      <c r="A14" s="46" t="s">
        <v>47</v>
      </c>
      <c r="B14" s="47">
        <v>645020</v>
      </c>
      <c r="C14" s="47">
        <v>599642</v>
      </c>
      <c r="D14" s="47">
        <v>670164</v>
      </c>
      <c r="E14" s="47">
        <v>598499</v>
      </c>
      <c r="F14" s="47">
        <v>571518</v>
      </c>
      <c r="G14" s="48">
        <v>611007</v>
      </c>
      <c r="H14" s="48">
        <v>659591</v>
      </c>
      <c r="I14" s="48">
        <v>595512</v>
      </c>
      <c r="J14" s="48">
        <v>568644</v>
      </c>
      <c r="K14" s="48">
        <v>641380</v>
      </c>
      <c r="L14" s="48">
        <v>585833</v>
      </c>
      <c r="M14" s="48">
        <v>560108</v>
      </c>
      <c r="N14" s="48">
        <v>621554</v>
      </c>
      <c r="O14" s="49">
        <v>595589</v>
      </c>
      <c r="P14" s="50">
        <v>593209</v>
      </c>
    </row>
    <row r="15" spans="1:16" x14ac:dyDescent="0.25">
      <c r="A15" s="46" t="s">
        <v>48</v>
      </c>
      <c r="B15" s="47">
        <v>647269</v>
      </c>
      <c r="C15" s="47">
        <v>602232</v>
      </c>
      <c r="D15" s="47">
        <v>570572</v>
      </c>
      <c r="E15" s="47">
        <v>536004</v>
      </c>
      <c r="F15" s="47">
        <v>528385</v>
      </c>
      <c r="G15" s="48">
        <v>542600</v>
      </c>
      <c r="H15" s="48">
        <v>569377</v>
      </c>
      <c r="I15" s="48">
        <v>536174</v>
      </c>
      <c r="J15" s="48">
        <v>529656</v>
      </c>
      <c r="K15" s="48">
        <v>568786</v>
      </c>
      <c r="L15" s="48">
        <v>535475</v>
      </c>
      <c r="M15" s="48">
        <v>528764</v>
      </c>
      <c r="N15" s="48">
        <v>569100</v>
      </c>
      <c r="O15" s="49">
        <v>536830</v>
      </c>
      <c r="P15" s="50">
        <v>517647</v>
      </c>
    </row>
    <row r="16" spans="1:16" ht="15.75" thickBot="1" x14ac:dyDescent="0.3">
      <c r="A16" s="51" t="s">
        <v>10</v>
      </c>
      <c r="B16" s="52">
        <f>SUM(B4:B15)</f>
        <v>7669663</v>
      </c>
      <c r="C16" s="52">
        <f t="shared" ref="C16:P16" si="0">SUM(C4:C15)</f>
        <v>7144769</v>
      </c>
      <c r="D16" s="52">
        <f t="shared" si="0"/>
        <v>7302696</v>
      </c>
      <c r="E16" s="52">
        <f t="shared" si="0"/>
        <v>6716869</v>
      </c>
      <c r="F16" s="52">
        <f t="shared" si="0"/>
        <v>6760922</v>
      </c>
      <c r="G16" s="52">
        <f t="shared" si="0"/>
        <v>6968896</v>
      </c>
      <c r="H16" s="52">
        <f t="shared" si="0"/>
        <v>7226410</v>
      </c>
      <c r="I16" s="52">
        <f t="shared" si="0"/>
        <v>6682181</v>
      </c>
      <c r="J16" s="52">
        <f t="shared" si="0"/>
        <v>6673761</v>
      </c>
      <c r="K16" s="52">
        <f t="shared" si="0"/>
        <v>7170436</v>
      </c>
      <c r="L16" s="52">
        <f t="shared" si="0"/>
        <v>6680824</v>
      </c>
      <c r="M16" s="52">
        <f t="shared" si="0"/>
        <v>6672334</v>
      </c>
      <c r="N16" s="52">
        <f t="shared" si="0"/>
        <v>7162126</v>
      </c>
      <c r="O16" s="52">
        <f t="shared" si="0"/>
        <v>5587324</v>
      </c>
      <c r="P16" s="53">
        <f t="shared" si="0"/>
        <v>6902569</v>
      </c>
    </row>
    <row r="17" spans="1:16" x14ac:dyDescent="0.25">
      <c r="A17" s="54" t="s">
        <v>69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  <c r="O17" s="57"/>
      <c r="P17" s="57" t="s">
        <v>70</v>
      </c>
    </row>
    <row r="18" spans="1:16" ht="15.75" thickBot="1" x14ac:dyDescent="0.3"/>
    <row r="19" spans="1:16" ht="16.5" thickBot="1" x14ac:dyDescent="0.3">
      <c r="A19" s="181" t="s">
        <v>50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3"/>
    </row>
    <row r="20" spans="1:16" ht="16.5" thickBot="1" x14ac:dyDescent="0.3">
      <c r="A20" s="184" t="s">
        <v>71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6"/>
    </row>
    <row r="21" spans="1:16" x14ac:dyDescent="0.25">
      <c r="A21" s="187" t="s">
        <v>72</v>
      </c>
      <c r="B21" s="168" t="s">
        <v>53</v>
      </c>
      <c r="C21" s="168" t="s">
        <v>55</v>
      </c>
      <c r="D21" s="168" t="s">
        <v>56</v>
      </c>
      <c r="E21" s="168" t="s">
        <v>57</v>
      </c>
      <c r="F21" s="168" t="s">
        <v>59</v>
      </c>
      <c r="G21" s="168" t="s">
        <v>73</v>
      </c>
      <c r="H21" s="168" t="s">
        <v>61</v>
      </c>
      <c r="I21" s="58" t="s">
        <v>74</v>
      </c>
      <c r="J21" s="58" t="s">
        <v>74</v>
      </c>
      <c r="K21" s="58" t="s">
        <v>74</v>
      </c>
      <c r="L21" s="168" t="s">
        <v>65</v>
      </c>
      <c r="M21" s="168" t="s">
        <v>66</v>
      </c>
      <c r="N21" s="170" t="s">
        <v>75</v>
      </c>
    </row>
    <row r="22" spans="1:16" ht="15.75" thickBot="1" x14ac:dyDescent="0.3">
      <c r="A22" s="188"/>
      <c r="B22" s="169"/>
      <c r="C22" s="169"/>
      <c r="D22" s="169"/>
      <c r="E22" s="169"/>
      <c r="F22" s="169"/>
      <c r="G22" s="169"/>
      <c r="H22" s="169"/>
      <c r="I22" s="59">
        <v>-1</v>
      </c>
      <c r="J22" s="59">
        <v>-2</v>
      </c>
      <c r="K22" s="59">
        <v>-3</v>
      </c>
      <c r="L22" s="169"/>
      <c r="M22" s="169"/>
      <c r="N22" s="171"/>
    </row>
    <row r="23" spans="1:16" x14ac:dyDescent="0.25">
      <c r="A23" s="60" t="s">
        <v>37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2">
        <v>497328</v>
      </c>
    </row>
    <row r="24" spans="1:16" x14ac:dyDescent="0.25">
      <c r="A24" s="63" t="s">
        <v>68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>
        <v>598056</v>
      </c>
    </row>
    <row r="25" spans="1:16" x14ac:dyDescent="0.25">
      <c r="A25" s="63" t="s">
        <v>39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5">
        <v>520309</v>
      </c>
    </row>
    <row r="26" spans="1:16" x14ac:dyDescent="0.25">
      <c r="A26" s="63" t="s">
        <v>40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5">
        <v>508733</v>
      </c>
    </row>
    <row r="27" spans="1:16" x14ac:dyDescent="0.25">
      <c r="A27" s="63" t="s">
        <v>41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5">
        <v>566387</v>
      </c>
    </row>
    <row r="28" spans="1:16" x14ac:dyDescent="0.25">
      <c r="A28" s="63" t="s">
        <v>42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5">
        <v>504224</v>
      </c>
    </row>
    <row r="29" spans="1:16" x14ac:dyDescent="0.25">
      <c r="A29" s="63" t="s">
        <v>43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5">
        <v>522002</v>
      </c>
    </row>
    <row r="30" spans="1:16" x14ac:dyDescent="0.25">
      <c r="A30" s="63" t="s">
        <v>44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5">
        <v>498628</v>
      </c>
    </row>
    <row r="31" spans="1:16" x14ac:dyDescent="0.25">
      <c r="A31" s="63" t="s">
        <v>45</v>
      </c>
      <c r="B31" s="64"/>
      <c r="C31" s="64">
        <v>17261</v>
      </c>
      <c r="D31" s="64">
        <v>12392</v>
      </c>
      <c r="E31" s="64">
        <v>13341</v>
      </c>
      <c r="F31" s="64">
        <v>16691</v>
      </c>
      <c r="G31" s="64">
        <v>12266</v>
      </c>
      <c r="H31" s="64">
        <v>13019</v>
      </c>
      <c r="I31" s="64">
        <v>16678</v>
      </c>
      <c r="J31" s="64">
        <v>12204</v>
      </c>
      <c r="K31" s="64">
        <v>13049</v>
      </c>
      <c r="L31" s="64">
        <v>1625</v>
      </c>
      <c r="M31" s="64">
        <v>1299</v>
      </c>
      <c r="N31" s="65">
        <v>475716</v>
      </c>
    </row>
    <row r="32" spans="1:16" x14ac:dyDescent="0.25">
      <c r="A32" s="63" t="s">
        <v>46</v>
      </c>
      <c r="B32" s="64"/>
      <c r="C32" s="64">
        <v>51478</v>
      </c>
      <c r="D32" s="64">
        <v>36198</v>
      </c>
      <c r="E32" s="64">
        <v>39328</v>
      </c>
      <c r="F32" s="64">
        <v>51250</v>
      </c>
      <c r="G32" s="64">
        <v>36221</v>
      </c>
      <c r="H32" s="64">
        <v>39629</v>
      </c>
      <c r="I32" s="64">
        <v>50491</v>
      </c>
      <c r="J32" s="64">
        <v>35839</v>
      </c>
      <c r="K32" s="64">
        <v>38144</v>
      </c>
      <c r="L32" s="64">
        <v>49085</v>
      </c>
      <c r="M32" s="64">
        <v>34441</v>
      </c>
      <c r="N32" s="65">
        <v>737596</v>
      </c>
    </row>
    <row r="33" spans="1:14" x14ac:dyDescent="0.25">
      <c r="A33" s="63" t="s">
        <v>47</v>
      </c>
      <c r="B33" s="64"/>
      <c r="C33" s="64">
        <v>28248</v>
      </c>
      <c r="D33" s="64">
        <v>24168</v>
      </c>
      <c r="E33" s="64">
        <v>22056</v>
      </c>
      <c r="F33" s="64">
        <v>26892</v>
      </c>
      <c r="G33" s="64">
        <v>23359</v>
      </c>
      <c r="H33" s="64">
        <v>21562</v>
      </c>
      <c r="I33" s="64">
        <v>25399</v>
      </c>
      <c r="J33" s="64">
        <v>22533</v>
      </c>
      <c r="K33" s="64">
        <v>26778</v>
      </c>
      <c r="L33" s="64">
        <v>23151</v>
      </c>
      <c r="M33" s="64">
        <v>21247</v>
      </c>
      <c r="N33" s="65">
        <v>584679</v>
      </c>
    </row>
    <row r="34" spans="1:14" x14ac:dyDescent="0.25">
      <c r="A34" s="63" t="s">
        <v>48</v>
      </c>
      <c r="B34" s="64"/>
      <c r="C34" s="64">
        <v>19288</v>
      </c>
      <c r="D34" s="64">
        <v>17403</v>
      </c>
      <c r="E34" s="64">
        <v>17621</v>
      </c>
      <c r="F34" s="64">
        <v>18743</v>
      </c>
      <c r="G34" s="64">
        <v>17018</v>
      </c>
      <c r="H34" s="64">
        <v>17227</v>
      </c>
      <c r="I34" s="64">
        <v>18541</v>
      </c>
      <c r="J34" s="64">
        <v>16722</v>
      </c>
      <c r="K34" s="64">
        <v>16650</v>
      </c>
      <c r="L34" s="64">
        <v>18249</v>
      </c>
      <c r="M34" s="64">
        <v>16740</v>
      </c>
      <c r="N34" s="65">
        <v>506768</v>
      </c>
    </row>
    <row r="35" spans="1:14" ht="15.75" thickBot="1" x14ac:dyDescent="0.3">
      <c r="A35" s="66" t="s">
        <v>10</v>
      </c>
      <c r="B35" s="67">
        <f>SUM(B23:B34)</f>
        <v>0</v>
      </c>
      <c r="C35" s="67">
        <f t="shared" ref="C35:N35" si="1">SUM(C23:C34)</f>
        <v>116275</v>
      </c>
      <c r="D35" s="67">
        <f t="shared" si="1"/>
        <v>90161</v>
      </c>
      <c r="E35" s="67">
        <f t="shared" si="1"/>
        <v>92346</v>
      </c>
      <c r="F35" s="67">
        <f t="shared" si="1"/>
        <v>113576</v>
      </c>
      <c r="G35" s="67">
        <f t="shared" si="1"/>
        <v>88864</v>
      </c>
      <c r="H35" s="67">
        <f t="shared" si="1"/>
        <v>91437</v>
      </c>
      <c r="I35" s="67">
        <f t="shared" si="1"/>
        <v>111109</v>
      </c>
      <c r="J35" s="67">
        <f t="shared" si="1"/>
        <v>87298</v>
      </c>
      <c r="K35" s="67">
        <f t="shared" si="1"/>
        <v>94621</v>
      </c>
      <c r="L35" s="67">
        <f t="shared" si="1"/>
        <v>92110</v>
      </c>
      <c r="M35" s="67">
        <f t="shared" si="1"/>
        <v>73727</v>
      </c>
      <c r="N35" s="68">
        <f t="shared" si="1"/>
        <v>6520426</v>
      </c>
    </row>
    <row r="37" spans="1:14" ht="15.75" thickBot="1" x14ac:dyDescent="0.3"/>
    <row r="38" spans="1:14" ht="16.5" thickBot="1" x14ac:dyDescent="0.3">
      <c r="A38" s="172" t="s">
        <v>50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4"/>
    </row>
    <row r="39" spans="1:14" ht="16.5" thickBot="1" x14ac:dyDescent="0.3">
      <c r="A39" s="189" t="s">
        <v>76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4" x14ac:dyDescent="0.25">
      <c r="A40" s="192" t="s">
        <v>72</v>
      </c>
      <c r="B40" s="194" t="s">
        <v>77</v>
      </c>
      <c r="C40" s="194"/>
      <c r="D40" s="194"/>
      <c r="E40" s="194"/>
      <c r="F40" s="194"/>
      <c r="G40" s="194" t="s">
        <v>78</v>
      </c>
      <c r="H40" s="194"/>
      <c r="I40" s="194"/>
      <c r="J40" s="194"/>
      <c r="K40" s="195"/>
    </row>
    <row r="41" spans="1:14" ht="15.75" thickBot="1" x14ac:dyDescent="0.3">
      <c r="A41" s="193"/>
      <c r="B41" s="69" t="s">
        <v>79</v>
      </c>
      <c r="C41" s="69" t="s">
        <v>80</v>
      </c>
      <c r="D41" s="69" t="s">
        <v>81</v>
      </c>
      <c r="E41" s="69" t="s">
        <v>82</v>
      </c>
      <c r="F41" s="69" t="s">
        <v>83</v>
      </c>
      <c r="G41" s="69" t="s">
        <v>79</v>
      </c>
      <c r="H41" s="69" t="s">
        <v>80</v>
      </c>
      <c r="I41" s="69" t="s">
        <v>81</v>
      </c>
      <c r="J41" s="69" t="s">
        <v>82</v>
      </c>
      <c r="K41" s="70" t="s">
        <v>83</v>
      </c>
    </row>
    <row r="42" spans="1:14" x14ac:dyDescent="0.25">
      <c r="A42" s="60" t="s">
        <v>37</v>
      </c>
      <c r="B42" s="61">
        <v>409655</v>
      </c>
      <c r="C42" s="61">
        <v>366784</v>
      </c>
      <c r="D42" s="61">
        <v>34648</v>
      </c>
      <c r="E42" s="61">
        <v>8615</v>
      </c>
      <c r="F42" s="61">
        <v>4346</v>
      </c>
      <c r="G42" s="61">
        <v>19576</v>
      </c>
      <c r="H42" s="61">
        <v>13792</v>
      </c>
      <c r="I42" s="61">
        <v>13830</v>
      </c>
      <c r="J42" s="61">
        <v>3978</v>
      </c>
      <c r="K42" s="71">
        <v>1932</v>
      </c>
    </row>
    <row r="43" spans="1:14" x14ac:dyDescent="0.25">
      <c r="A43" s="63" t="s">
        <v>68</v>
      </c>
      <c r="B43" s="64">
        <v>468372</v>
      </c>
      <c r="C43" s="64">
        <v>406530</v>
      </c>
      <c r="D43" s="64">
        <v>43541</v>
      </c>
      <c r="E43" s="64">
        <v>11425</v>
      </c>
      <c r="F43" s="64">
        <v>6209</v>
      </c>
      <c r="G43" s="64">
        <v>34036</v>
      </c>
      <c r="H43" s="64">
        <v>20631</v>
      </c>
      <c r="I43" s="64">
        <v>21480</v>
      </c>
      <c r="J43" s="64">
        <v>5697</v>
      </c>
      <c r="K43" s="72">
        <v>2584</v>
      </c>
    </row>
    <row r="44" spans="1:14" x14ac:dyDescent="0.25">
      <c r="A44" s="63" t="s">
        <v>39</v>
      </c>
      <c r="B44" s="64">
        <v>438260</v>
      </c>
      <c r="C44" s="64">
        <v>392996</v>
      </c>
      <c r="D44" s="64">
        <v>35190</v>
      </c>
      <c r="E44" s="64">
        <v>9030</v>
      </c>
      <c r="F44" s="64">
        <v>4231</v>
      </c>
      <c r="G44" s="64">
        <v>20470</v>
      </c>
      <c r="H44" s="64">
        <v>14646</v>
      </c>
      <c r="I44" s="64">
        <v>14948</v>
      </c>
      <c r="J44" s="64">
        <v>3858</v>
      </c>
      <c r="K44" s="72">
        <v>1914</v>
      </c>
    </row>
    <row r="45" spans="1:14" x14ac:dyDescent="0.25">
      <c r="A45" s="63" t="s">
        <v>40</v>
      </c>
      <c r="B45" s="64">
        <v>446686</v>
      </c>
      <c r="C45" s="64">
        <v>386528</v>
      </c>
      <c r="D45" s="64">
        <v>37619</v>
      </c>
      <c r="E45" s="64">
        <v>9322</v>
      </c>
      <c r="F45" s="64">
        <v>5188</v>
      </c>
      <c r="G45" s="64">
        <v>21416</v>
      </c>
      <c r="H45" s="64">
        <v>14897</v>
      </c>
      <c r="I45" s="64">
        <v>15980</v>
      </c>
      <c r="J45" s="64">
        <v>4204</v>
      </c>
      <c r="K45" s="72">
        <v>1928</v>
      </c>
    </row>
    <row r="46" spans="1:14" x14ac:dyDescent="0.25">
      <c r="A46" s="63" t="s">
        <v>41</v>
      </c>
      <c r="B46" s="64">
        <v>476475</v>
      </c>
      <c r="C46" s="64">
        <v>392778</v>
      </c>
      <c r="D46" s="64">
        <v>36726</v>
      </c>
      <c r="E46" s="64">
        <v>9650</v>
      </c>
      <c r="F46" s="64">
        <v>4795</v>
      </c>
      <c r="G46" s="64">
        <v>25470</v>
      </c>
      <c r="H46" s="64">
        <v>16369</v>
      </c>
      <c r="I46" s="64">
        <v>18462</v>
      </c>
      <c r="J46" s="64">
        <v>5299</v>
      </c>
      <c r="K46" s="72">
        <v>2522</v>
      </c>
    </row>
    <row r="47" spans="1:14" x14ac:dyDescent="0.25">
      <c r="A47" s="63" t="s">
        <v>42</v>
      </c>
      <c r="B47" s="64">
        <v>445588</v>
      </c>
      <c r="C47" s="64">
        <v>397067</v>
      </c>
      <c r="D47" s="64">
        <v>35268</v>
      </c>
      <c r="E47" s="64">
        <v>9662</v>
      </c>
      <c r="F47" s="64">
        <v>4432</v>
      </c>
      <c r="G47" s="64">
        <v>21091</v>
      </c>
      <c r="H47" s="64">
        <v>14934</v>
      </c>
      <c r="I47" s="64">
        <v>15380</v>
      </c>
      <c r="J47" s="64">
        <v>4303</v>
      </c>
      <c r="K47" s="72">
        <v>2133</v>
      </c>
    </row>
    <row r="48" spans="1:14" x14ac:dyDescent="0.25">
      <c r="A48" s="63" t="s">
        <v>43</v>
      </c>
      <c r="B48" s="64">
        <v>480247</v>
      </c>
      <c r="C48" s="64">
        <v>421771</v>
      </c>
      <c r="D48" s="64">
        <v>37296</v>
      </c>
      <c r="E48" s="64">
        <v>11837</v>
      </c>
      <c r="F48" s="64">
        <v>5169</v>
      </c>
      <c r="G48" s="64">
        <v>25931</v>
      </c>
      <c r="H48" s="64">
        <v>16477</v>
      </c>
      <c r="I48" s="64">
        <v>18361</v>
      </c>
      <c r="J48" s="64">
        <v>5034</v>
      </c>
      <c r="K48" s="72">
        <v>2397</v>
      </c>
    </row>
    <row r="49" spans="1:11" x14ac:dyDescent="0.25">
      <c r="A49" s="63" t="s">
        <v>44</v>
      </c>
      <c r="B49" s="64">
        <v>470981</v>
      </c>
      <c r="C49" s="64">
        <v>412667</v>
      </c>
      <c r="D49" s="64">
        <v>67517</v>
      </c>
      <c r="E49" s="64">
        <v>21001</v>
      </c>
      <c r="F49" s="64">
        <v>10603</v>
      </c>
      <c r="G49" s="64">
        <v>23289</v>
      </c>
      <c r="H49" s="64">
        <v>15524</v>
      </c>
      <c r="I49" s="64">
        <v>17392</v>
      </c>
      <c r="J49" s="64">
        <v>5145</v>
      </c>
      <c r="K49" s="72">
        <v>2442</v>
      </c>
    </row>
    <row r="50" spans="1:11" x14ac:dyDescent="0.25">
      <c r="A50" s="63" t="s">
        <v>45</v>
      </c>
      <c r="B50" s="64">
        <v>454606</v>
      </c>
      <c r="C50" s="64">
        <v>419747</v>
      </c>
      <c r="D50" s="64">
        <v>37335</v>
      </c>
      <c r="E50" s="64">
        <v>11588</v>
      </c>
      <c r="F50" s="64">
        <v>5968</v>
      </c>
      <c r="G50" s="64">
        <v>22865</v>
      </c>
      <c r="H50" s="64">
        <v>15589</v>
      </c>
      <c r="I50" s="64">
        <v>16776</v>
      </c>
      <c r="J50" s="64">
        <v>4869</v>
      </c>
      <c r="K50" s="72">
        <v>2197</v>
      </c>
    </row>
    <row r="51" spans="1:11" x14ac:dyDescent="0.25">
      <c r="A51" s="63" t="s">
        <v>46</v>
      </c>
      <c r="B51" s="64">
        <v>474456</v>
      </c>
      <c r="C51" s="64">
        <v>416356</v>
      </c>
      <c r="D51" s="64">
        <v>39700</v>
      </c>
      <c r="E51" s="64">
        <v>12719</v>
      </c>
      <c r="F51" s="64">
        <v>38427</v>
      </c>
      <c r="G51" s="64">
        <v>35035</v>
      </c>
      <c r="H51" s="64">
        <v>20552</v>
      </c>
      <c r="I51" s="64">
        <v>21801</v>
      </c>
      <c r="J51" s="64">
        <v>6659</v>
      </c>
      <c r="K51" s="72">
        <v>3013</v>
      </c>
    </row>
    <row r="52" spans="1:11" x14ac:dyDescent="0.25">
      <c r="A52" s="63" t="s">
        <v>47</v>
      </c>
      <c r="B52" s="64">
        <v>453151</v>
      </c>
      <c r="C52" s="64">
        <v>401582</v>
      </c>
      <c r="D52" s="64">
        <v>42692</v>
      </c>
      <c r="E52" s="64">
        <v>14059</v>
      </c>
      <c r="F52" s="64">
        <v>7199</v>
      </c>
      <c r="G52" s="64">
        <v>78876</v>
      </c>
      <c r="H52" s="64">
        <v>21634</v>
      </c>
      <c r="I52" s="64">
        <v>20694</v>
      </c>
      <c r="J52" s="64">
        <v>6098</v>
      </c>
      <c r="K52" s="72">
        <v>23062</v>
      </c>
    </row>
    <row r="53" spans="1:11" x14ac:dyDescent="0.25">
      <c r="A53" s="63" t="s">
        <v>48</v>
      </c>
      <c r="B53" s="64">
        <v>26912</v>
      </c>
      <c r="C53" s="64">
        <v>17327</v>
      </c>
      <c r="D53" s="64">
        <v>17196</v>
      </c>
      <c r="E53" s="64">
        <v>4805</v>
      </c>
      <c r="F53" s="64">
        <v>2814</v>
      </c>
      <c r="G53" s="64">
        <v>422092</v>
      </c>
      <c r="H53" s="64">
        <v>393847</v>
      </c>
      <c r="I53" s="64">
        <v>36891</v>
      </c>
      <c r="J53" s="64">
        <v>11359</v>
      </c>
      <c r="K53" s="72">
        <v>5514</v>
      </c>
    </row>
    <row r="54" spans="1:11" ht="15.75" thickBot="1" x14ac:dyDescent="0.3">
      <c r="A54" s="66" t="s">
        <v>10</v>
      </c>
      <c r="B54" s="67">
        <f>SUM(B42:B53)</f>
        <v>5045389</v>
      </c>
      <c r="C54" s="67">
        <f t="shared" ref="C54:K54" si="2">SUM(C42:C53)</f>
        <v>4432133</v>
      </c>
      <c r="D54" s="67">
        <f t="shared" si="2"/>
        <v>464728</v>
      </c>
      <c r="E54" s="67">
        <f t="shared" si="2"/>
        <v>133713</v>
      </c>
      <c r="F54" s="67">
        <f t="shared" si="2"/>
        <v>99381</v>
      </c>
      <c r="G54" s="67">
        <f t="shared" si="2"/>
        <v>750147</v>
      </c>
      <c r="H54" s="67">
        <f t="shared" si="2"/>
        <v>578892</v>
      </c>
      <c r="I54" s="67">
        <f t="shared" si="2"/>
        <v>231995</v>
      </c>
      <c r="J54" s="67">
        <f t="shared" si="2"/>
        <v>66503</v>
      </c>
      <c r="K54" s="68">
        <f t="shared" si="2"/>
        <v>51638</v>
      </c>
    </row>
    <row r="55" spans="1:11" ht="15.75" x14ac:dyDescent="0.25">
      <c r="A55" s="73" t="s">
        <v>84</v>
      </c>
      <c r="B55" s="74"/>
      <c r="C55" s="74"/>
      <c r="D55" s="74"/>
      <c r="E55" s="74"/>
    </row>
  </sheetData>
  <mergeCells count="20">
    <mergeCell ref="A39:K39"/>
    <mergeCell ref="A40:A41"/>
    <mergeCell ref="B40:F40"/>
    <mergeCell ref="G40:K40"/>
    <mergeCell ref="G21:G22"/>
    <mergeCell ref="H21:H22"/>
    <mergeCell ref="L21:L22"/>
    <mergeCell ref="M21:M22"/>
    <mergeCell ref="N21:N22"/>
    <mergeCell ref="A38:K38"/>
    <mergeCell ref="A1:P1"/>
    <mergeCell ref="A2:P2"/>
    <mergeCell ref="A19:N19"/>
    <mergeCell ref="A20:N20"/>
    <mergeCell ref="A21:A22"/>
    <mergeCell ref="B21:B22"/>
    <mergeCell ref="C21:C22"/>
    <mergeCell ref="D21:D22"/>
    <mergeCell ref="E21:E22"/>
    <mergeCell ref="F21:F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58" workbookViewId="0">
      <selection activeCell="J60" sqref="J60"/>
    </sheetView>
  </sheetViews>
  <sheetFormatPr defaultRowHeight="15" x14ac:dyDescent="0.25"/>
  <cols>
    <col min="1" max="1" width="24" customWidth="1"/>
  </cols>
  <sheetData>
    <row r="1" spans="1:8" ht="19.5" thickBot="1" x14ac:dyDescent="0.3">
      <c r="A1" s="196" t="s">
        <v>0</v>
      </c>
      <c r="B1" s="197"/>
      <c r="C1" s="197"/>
      <c r="D1" s="197"/>
      <c r="E1" s="197"/>
      <c r="F1" s="197"/>
      <c r="G1" s="197"/>
      <c r="H1" s="198"/>
    </row>
    <row r="2" spans="1:8" ht="15" customHeight="1" x14ac:dyDescent="0.25">
      <c r="A2" s="199" t="s">
        <v>1</v>
      </c>
      <c r="B2" s="200"/>
      <c r="C2" s="200"/>
      <c r="D2" s="200"/>
      <c r="E2" s="200"/>
      <c r="F2" s="200"/>
      <c r="G2" s="200"/>
      <c r="H2" s="201"/>
    </row>
    <row r="3" spans="1:8" ht="3.75" customHeight="1" x14ac:dyDescent="0.25">
      <c r="A3" s="202"/>
      <c r="B3" s="203"/>
      <c r="C3" s="204"/>
      <c r="D3" s="203"/>
      <c r="E3" s="203"/>
      <c r="F3" s="203"/>
      <c r="G3" s="203"/>
      <c r="H3" s="205"/>
    </row>
    <row r="4" spans="1:8" ht="15" customHeight="1" x14ac:dyDescent="0.25">
      <c r="A4" s="206" t="s">
        <v>2</v>
      </c>
      <c r="B4" s="207" t="s">
        <v>3</v>
      </c>
      <c r="C4" s="208" t="s">
        <v>4</v>
      </c>
      <c r="D4" s="210" t="s">
        <v>5</v>
      </c>
      <c r="E4" s="211"/>
      <c r="F4" s="211"/>
      <c r="G4" s="211" t="s">
        <v>6</v>
      </c>
      <c r="H4" s="212" t="s">
        <v>7</v>
      </c>
    </row>
    <row r="5" spans="1:8" ht="51.75" customHeight="1" x14ac:dyDescent="0.25">
      <c r="A5" s="206"/>
      <c r="B5" s="207"/>
      <c r="C5" s="209"/>
      <c r="D5" s="120" t="s">
        <v>8</v>
      </c>
      <c r="E5" s="119" t="s">
        <v>9</v>
      </c>
      <c r="F5" s="119" t="s">
        <v>10</v>
      </c>
      <c r="G5" s="211"/>
      <c r="H5" s="212"/>
    </row>
    <row r="6" spans="1:8" x14ac:dyDescent="0.25">
      <c r="A6" s="1" t="s">
        <v>11</v>
      </c>
      <c r="B6" s="2">
        <v>734</v>
      </c>
      <c r="C6" s="3">
        <v>64</v>
      </c>
      <c r="D6" s="2">
        <v>778</v>
      </c>
      <c r="E6" s="2">
        <v>730</v>
      </c>
      <c r="F6" s="2">
        <f>D6+E6</f>
        <v>1508</v>
      </c>
      <c r="G6" s="2">
        <v>132</v>
      </c>
      <c r="H6" s="4">
        <v>0.75</v>
      </c>
    </row>
    <row r="7" spans="1:8" x14ac:dyDescent="0.25">
      <c r="A7" s="1" t="s">
        <v>12</v>
      </c>
      <c r="B7" s="2">
        <v>1457</v>
      </c>
      <c r="C7" s="2">
        <v>38</v>
      </c>
      <c r="D7" s="2">
        <v>1386</v>
      </c>
      <c r="E7" s="2">
        <v>1573</v>
      </c>
      <c r="F7" s="2">
        <f t="shared" ref="F7:F12" si="0">D7+E7</f>
        <v>2959</v>
      </c>
      <c r="G7" s="2">
        <v>77</v>
      </c>
      <c r="H7" s="4">
        <v>0.94</v>
      </c>
    </row>
    <row r="8" spans="1:8" x14ac:dyDescent="0.25">
      <c r="A8" s="1" t="s">
        <v>13</v>
      </c>
      <c r="B8" s="2">
        <v>109</v>
      </c>
      <c r="C8" s="2">
        <v>25</v>
      </c>
      <c r="D8" s="2">
        <v>455</v>
      </c>
      <c r="E8" s="2">
        <v>402</v>
      </c>
      <c r="F8" s="2">
        <f t="shared" si="0"/>
        <v>857</v>
      </c>
      <c r="G8" s="2">
        <v>193</v>
      </c>
      <c r="H8" s="4">
        <v>0.88</v>
      </c>
    </row>
    <row r="9" spans="1:8" x14ac:dyDescent="0.25">
      <c r="A9" s="1" t="s">
        <v>14</v>
      </c>
      <c r="B9" s="2">
        <v>322</v>
      </c>
      <c r="C9" s="2">
        <v>46</v>
      </c>
      <c r="D9" s="2">
        <v>416</v>
      </c>
      <c r="E9" s="2">
        <v>394</v>
      </c>
      <c r="F9" s="2">
        <f t="shared" si="0"/>
        <v>810</v>
      </c>
      <c r="G9" s="2">
        <v>115</v>
      </c>
      <c r="H9" s="4">
        <v>0.91</v>
      </c>
    </row>
    <row r="10" spans="1:8" x14ac:dyDescent="0.25">
      <c r="A10" s="1" t="s">
        <v>15</v>
      </c>
      <c r="B10" s="2">
        <v>3857</v>
      </c>
      <c r="C10" s="2">
        <v>36</v>
      </c>
      <c r="D10" s="2">
        <v>6824</v>
      </c>
      <c r="E10" s="2">
        <v>6391</v>
      </c>
      <c r="F10" s="2">
        <f t="shared" si="0"/>
        <v>13215</v>
      </c>
      <c r="G10" s="2">
        <v>125</v>
      </c>
      <c r="H10" s="4">
        <v>0.95</v>
      </c>
    </row>
    <row r="11" spans="1:8" x14ac:dyDescent="0.25">
      <c r="A11" s="1" t="s">
        <v>16</v>
      </c>
      <c r="B11" s="2">
        <v>29937</v>
      </c>
      <c r="C11" s="2">
        <v>91</v>
      </c>
      <c r="D11" s="2">
        <v>35861</v>
      </c>
      <c r="E11" s="2">
        <v>34010</v>
      </c>
      <c r="F11" s="2">
        <f t="shared" si="0"/>
        <v>69871</v>
      </c>
      <c r="G11" s="2">
        <v>213</v>
      </c>
      <c r="H11" s="4">
        <v>0.97</v>
      </c>
    </row>
    <row r="12" spans="1:8" x14ac:dyDescent="0.25">
      <c r="A12" s="1" t="s">
        <v>17</v>
      </c>
      <c r="B12" s="2">
        <v>13588</v>
      </c>
      <c r="C12" s="2">
        <v>95</v>
      </c>
      <c r="D12" s="2">
        <v>14974</v>
      </c>
      <c r="E12" s="2">
        <v>13896</v>
      </c>
      <c r="F12" s="2">
        <f t="shared" si="0"/>
        <v>28870</v>
      </c>
      <c r="G12" s="2">
        <v>203</v>
      </c>
      <c r="H12" s="4">
        <v>0.63</v>
      </c>
    </row>
    <row r="13" spans="1:8" ht="15.75" thickBot="1" x14ac:dyDescent="0.3">
      <c r="A13" s="5" t="s">
        <v>18</v>
      </c>
      <c r="B13" s="6">
        <f>SUM(B6:B12)</f>
        <v>50004</v>
      </c>
      <c r="C13" s="6">
        <f t="shared" ref="C13:G13" si="1">SUM(C6:C12)</f>
        <v>395</v>
      </c>
      <c r="D13" s="6">
        <f t="shared" si="1"/>
        <v>60694</v>
      </c>
      <c r="E13" s="6">
        <f t="shared" si="1"/>
        <v>57396</v>
      </c>
      <c r="F13" s="6">
        <f t="shared" si="1"/>
        <v>118090</v>
      </c>
      <c r="G13" s="6">
        <f t="shared" si="1"/>
        <v>1058</v>
      </c>
      <c r="H13" s="7">
        <v>0.88</v>
      </c>
    </row>
    <row r="14" spans="1:8" ht="15.75" x14ac:dyDescent="0.25">
      <c r="A14" s="8"/>
      <c r="B14" s="9"/>
      <c r="C14" s="9"/>
      <c r="D14" s="9"/>
      <c r="E14" s="9"/>
      <c r="F14" s="9"/>
      <c r="G14" s="9"/>
      <c r="H14" s="10"/>
    </row>
    <row r="15" spans="1:8" x14ac:dyDescent="0.25">
      <c r="A15" s="214" t="s">
        <v>19</v>
      </c>
      <c r="B15" s="214"/>
      <c r="C15" s="214"/>
      <c r="D15" s="214"/>
      <c r="E15" s="214"/>
      <c r="F15" s="214"/>
      <c r="G15" s="214"/>
      <c r="H15" s="214"/>
    </row>
    <row r="16" spans="1:8" x14ac:dyDescent="0.25">
      <c r="A16" s="215" t="s">
        <v>20</v>
      </c>
      <c r="B16" s="215"/>
      <c r="C16" s="215"/>
      <c r="D16" s="215"/>
      <c r="E16" s="215"/>
      <c r="F16" s="215"/>
      <c r="G16" s="215"/>
      <c r="H16" s="215"/>
    </row>
    <row r="17" spans="1:8" x14ac:dyDescent="0.25">
      <c r="A17" s="215" t="s">
        <v>21</v>
      </c>
      <c r="B17" s="215"/>
      <c r="C17" s="11"/>
      <c r="D17" s="11"/>
      <c r="E17" s="11"/>
      <c r="F17" s="11"/>
      <c r="G17" s="11"/>
      <c r="H17" s="11"/>
    </row>
    <row r="18" spans="1:8" x14ac:dyDescent="0.25">
      <c r="A18" s="12"/>
      <c r="B18" s="11"/>
      <c r="C18" s="11"/>
      <c r="D18" s="11"/>
      <c r="E18" s="11"/>
      <c r="F18" s="11"/>
      <c r="G18" s="11"/>
      <c r="H18" s="11"/>
    </row>
    <row r="19" spans="1:8" ht="15.75" thickBot="1" x14ac:dyDescent="0.3">
      <c r="A19" s="12"/>
      <c r="B19" s="11"/>
      <c r="C19" s="11"/>
      <c r="D19" s="11"/>
      <c r="E19" s="11"/>
      <c r="F19" s="11"/>
      <c r="G19" s="11"/>
      <c r="H19" s="11"/>
    </row>
    <row r="20" spans="1:8" ht="19.5" thickBot="1" x14ac:dyDescent="0.3">
      <c r="A20" s="196" t="s">
        <v>0</v>
      </c>
      <c r="B20" s="197"/>
      <c r="C20" s="197"/>
      <c r="D20" s="197"/>
      <c r="E20" s="197"/>
      <c r="F20" s="197"/>
      <c r="G20" s="197"/>
      <c r="H20" s="198"/>
    </row>
    <row r="21" spans="1:8" ht="15" customHeight="1" x14ac:dyDescent="0.25">
      <c r="A21" s="199" t="s">
        <v>22</v>
      </c>
      <c r="B21" s="200"/>
      <c r="C21" s="200"/>
      <c r="D21" s="200"/>
      <c r="E21" s="200"/>
      <c r="F21" s="200"/>
      <c r="G21" s="200"/>
      <c r="H21" s="201"/>
    </row>
    <row r="22" spans="1:8" ht="1.5" customHeight="1" x14ac:dyDescent="0.25">
      <c r="A22" s="202"/>
      <c r="B22" s="203"/>
      <c r="C22" s="203"/>
      <c r="D22" s="203"/>
      <c r="E22" s="203"/>
      <c r="F22" s="203"/>
      <c r="G22" s="203"/>
      <c r="H22" s="205"/>
    </row>
    <row r="23" spans="1:8" ht="15" customHeight="1" x14ac:dyDescent="0.25">
      <c r="A23" s="206" t="s">
        <v>2</v>
      </c>
      <c r="B23" s="211" t="s">
        <v>3</v>
      </c>
      <c r="C23" s="119" t="s">
        <v>23</v>
      </c>
      <c r="D23" s="211" t="s">
        <v>5</v>
      </c>
      <c r="E23" s="211"/>
      <c r="F23" s="211"/>
      <c r="G23" s="211" t="s">
        <v>6</v>
      </c>
      <c r="H23" s="213" t="s">
        <v>7</v>
      </c>
    </row>
    <row r="24" spans="1:8" ht="51.75" customHeight="1" x14ac:dyDescent="0.25">
      <c r="A24" s="206"/>
      <c r="B24" s="211"/>
      <c r="C24" s="119" t="s">
        <v>24</v>
      </c>
      <c r="D24" s="119" t="s">
        <v>8</v>
      </c>
      <c r="E24" s="119" t="s">
        <v>9</v>
      </c>
      <c r="F24" s="119" t="s">
        <v>10</v>
      </c>
      <c r="G24" s="211"/>
      <c r="H24" s="213"/>
    </row>
    <row r="25" spans="1:8" x14ac:dyDescent="0.25">
      <c r="A25" s="1" t="s">
        <v>11</v>
      </c>
      <c r="B25" s="2">
        <v>774</v>
      </c>
      <c r="C25" s="2">
        <v>68</v>
      </c>
      <c r="D25" s="2">
        <v>764</v>
      </c>
      <c r="E25" s="2">
        <v>800</v>
      </c>
      <c r="F25" s="2">
        <f>D25+E25</f>
        <v>1564</v>
      </c>
      <c r="G25" s="2">
        <v>137</v>
      </c>
      <c r="H25" s="13">
        <v>0.71</v>
      </c>
    </row>
    <row r="26" spans="1:8" x14ac:dyDescent="0.25">
      <c r="A26" s="1" t="s">
        <v>12</v>
      </c>
      <c r="B26" s="2">
        <v>1631</v>
      </c>
      <c r="C26" s="2">
        <v>42</v>
      </c>
      <c r="D26" s="2">
        <v>1552</v>
      </c>
      <c r="E26" s="2">
        <v>1744</v>
      </c>
      <c r="F26" s="2">
        <f t="shared" ref="F26:F31" si="2">D26+E26</f>
        <v>3296</v>
      </c>
      <c r="G26" s="2">
        <v>86</v>
      </c>
      <c r="H26" s="13">
        <v>0.89</v>
      </c>
    </row>
    <row r="27" spans="1:8" x14ac:dyDescent="0.25">
      <c r="A27" s="1" t="s">
        <v>13</v>
      </c>
      <c r="B27" s="2">
        <v>173</v>
      </c>
      <c r="C27" s="2">
        <v>39</v>
      </c>
      <c r="D27" s="2">
        <v>736</v>
      </c>
      <c r="E27" s="2">
        <v>571</v>
      </c>
      <c r="F27" s="2">
        <f t="shared" si="2"/>
        <v>1307</v>
      </c>
      <c r="G27" s="2">
        <v>295</v>
      </c>
      <c r="H27" s="13">
        <v>1</v>
      </c>
    </row>
    <row r="28" spans="1:8" x14ac:dyDescent="0.25">
      <c r="A28" s="1" t="s">
        <v>14</v>
      </c>
      <c r="B28" s="2">
        <v>262</v>
      </c>
      <c r="C28" s="2">
        <v>37</v>
      </c>
      <c r="D28" s="2">
        <v>389</v>
      </c>
      <c r="E28" s="2">
        <v>353</v>
      </c>
      <c r="F28" s="2">
        <f t="shared" si="2"/>
        <v>742</v>
      </c>
      <c r="G28" s="2">
        <v>106</v>
      </c>
      <c r="H28" s="13">
        <v>0.94</v>
      </c>
    </row>
    <row r="29" spans="1:8" x14ac:dyDescent="0.25">
      <c r="A29" s="1" t="s">
        <v>15</v>
      </c>
      <c r="B29" s="2">
        <v>4095</v>
      </c>
      <c r="C29" s="2">
        <v>39</v>
      </c>
      <c r="D29" s="2">
        <v>7851</v>
      </c>
      <c r="E29" s="2">
        <v>7147</v>
      </c>
      <c r="F29" s="2">
        <f t="shared" si="2"/>
        <v>14998</v>
      </c>
      <c r="G29" s="2">
        <v>142</v>
      </c>
      <c r="H29" s="13">
        <v>0.97</v>
      </c>
    </row>
    <row r="30" spans="1:8" x14ac:dyDescent="0.25">
      <c r="A30" s="1" t="s">
        <v>16</v>
      </c>
      <c r="B30" s="2">
        <v>31264</v>
      </c>
      <c r="C30" s="2">
        <v>96</v>
      </c>
      <c r="D30" s="2">
        <v>38456</v>
      </c>
      <c r="E30" s="2">
        <v>36212</v>
      </c>
      <c r="F30" s="2">
        <f t="shared" si="2"/>
        <v>74668</v>
      </c>
      <c r="G30" s="2">
        <v>228</v>
      </c>
      <c r="H30" s="13">
        <v>0.9</v>
      </c>
    </row>
    <row r="31" spans="1:8" x14ac:dyDescent="0.25">
      <c r="A31" s="1" t="s">
        <v>17</v>
      </c>
      <c r="B31" s="2">
        <v>14538</v>
      </c>
      <c r="C31" s="2">
        <v>102</v>
      </c>
      <c r="D31" s="2">
        <v>15853</v>
      </c>
      <c r="E31" s="2">
        <v>14058</v>
      </c>
      <c r="F31" s="2">
        <f t="shared" si="2"/>
        <v>29911</v>
      </c>
      <c r="G31" s="14">
        <v>210</v>
      </c>
      <c r="H31" s="13">
        <v>0.57999999999999996</v>
      </c>
    </row>
    <row r="32" spans="1:8" ht="15.75" thickBot="1" x14ac:dyDescent="0.3">
      <c r="A32" s="5" t="s">
        <v>18</v>
      </c>
      <c r="B32" s="6">
        <f>SUM(B25:B31)</f>
        <v>52737</v>
      </c>
      <c r="C32" s="6">
        <f t="shared" ref="C32:G32" si="3">SUM(C25:C31)</f>
        <v>423</v>
      </c>
      <c r="D32" s="6">
        <f t="shared" si="3"/>
        <v>65601</v>
      </c>
      <c r="E32" s="6">
        <f t="shared" si="3"/>
        <v>60885</v>
      </c>
      <c r="F32" s="6">
        <f t="shared" si="3"/>
        <v>126486</v>
      </c>
      <c r="G32" s="6">
        <f t="shared" si="3"/>
        <v>1204</v>
      </c>
      <c r="H32" s="13">
        <v>0.84</v>
      </c>
    </row>
    <row r="33" spans="1:8" ht="15.75" x14ac:dyDescent="0.25">
      <c r="A33" s="8"/>
      <c r="B33" s="15"/>
      <c r="C33" s="15"/>
      <c r="D33" s="15"/>
      <c r="E33" s="15"/>
      <c r="F33" s="15"/>
      <c r="G33" s="15"/>
      <c r="H33" s="16"/>
    </row>
    <row r="34" spans="1:8" x14ac:dyDescent="0.25">
      <c r="A34" s="214" t="s">
        <v>19</v>
      </c>
      <c r="B34" s="214"/>
      <c r="C34" s="214"/>
      <c r="D34" s="214"/>
      <c r="E34" s="214"/>
      <c r="F34" s="214"/>
      <c r="G34" s="214"/>
      <c r="H34" s="214"/>
    </row>
    <row r="35" spans="1:8" x14ac:dyDescent="0.25">
      <c r="A35" s="215" t="s">
        <v>20</v>
      </c>
      <c r="B35" s="215"/>
      <c r="C35" s="215"/>
      <c r="D35" s="215"/>
      <c r="E35" s="215"/>
      <c r="F35" s="215"/>
      <c r="G35" s="215"/>
      <c r="H35" s="215"/>
    </row>
    <row r="36" spans="1:8" x14ac:dyDescent="0.25">
      <c r="A36" s="215" t="s">
        <v>21</v>
      </c>
      <c r="B36" s="215"/>
      <c r="C36" s="11"/>
      <c r="D36" s="11"/>
      <c r="E36" s="11"/>
      <c r="F36" s="11"/>
      <c r="G36" s="11"/>
      <c r="H36" s="11"/>
    </row>
    <row r="37" spans="1:8" ht="15.75" thickBot="1" x14ac:dyDescent="0.3">
      <c r="A37" s="12"/>
      <c r="B37" s="11"/>
      <c r="C37" s="11"/>
      <c r="D37" s="11"/>
      <c r="E37" s="11"/>
      <c r="F37" s="11"/>
      <c r="G37" s="11"/>
      <c r="H37" s="11"/>
    </row>
    <row r="38" spans="1:8" ht="19.5" thickBot="1" x14ac:dyDescent="0.3">
      <c r="A38" s="196" t="s">
        <v>0</v>
      </c>
      <c r="B38" s="197"/>
      <c r="C38" s="197"/>
      <c r="D38" s="197"/>
      <c r="E38" s="197"/>
      <c r="F38" s="197"/>
      <c r="G38" s="197"/>
      <c r="H38" s="198"/>
    </row>
    <row r="39" spans="1:8" ht="15" customHeight="1" x14ac:dyDescent="0.25">
      <c r="A39" s="199" t="s">
        <v>25</v>
      </c>
      <c r="B39" s="200"/>
      <c r="C39" s="200"/>
      <c r="D39" s="200"/>
      <c r="E39" s="200"/>
      <c r="F39" s="200"/>
      <c r="G39" s="200"/>
      <c r="H39" s="201"/>
    </row>
    <row r="40" spans="1:8" ht="1.5" customHeight="1" x14ac:dyDescent="0.25">
      <c r="A40" s="202"/>
      <c r="B40" s="203"/>
      <c r="C40" s="203"/>
      <c r="D40" s="203"/>
      <c r="E40" s="203"/>
      <c r="F40" s="203"/>
      <c r="G40" s="203"/>
      <c r="H40" s="205"/>
    </row>
    <row r="41" spans="1:8" ht="15" customHeight="1" x14ac:dyDescent="0.25">
      <c r="A41" s="206" t="s">
        <v>2</v>
      </c>
      <c r="B41" s="211" t="s">
        <v>3</v>
      </c>
      <c r="C41" s="119" t="s">
        <v>23</v>
      </c>
      <c r="D41" s="211" t="s">
        <v>5</v>
      </c>
      <c r="E41" s="211"/>
      <c r="F41" s="211"/>
      <c r="G41" s="211" t="s">
        <v>6</v>
      </c>
      <c r="H41" s="212" t="s">
        <v>7</v>
      </c>
    </row>
    <row r="42" spans="1:8" ht="57" customHeight="1" x14ac:dyDescent="0.25">
      <c r="A42" s="206"/>
      <c r="B42" s="211"/>
      <c r="C42" s="119" t="s">
        <v>24</v>
      </c>
      <c r="D42" s="119" t="s">
        <v>8</v>
      </c>
      <c r="E42" s="119" t="s">
        <v>9</v>
      </c>
      <c r="F42" s="119" t="s">
        <v>10</v>
      </c>
      <c r="G42" s="211"/>
      <c r="H42" s="212"/>
    </row>
    <row r="43" spans="1:8" x14ac:dyDescent="0.25">
      <c r="A43" s="1" t="s">
        <v>11</v>
      </c>
      <c r="B43" s="2">
        <v>721</v>
      </c>
      <c r="C43" s="2">
        <v>63</v>
      </c>
      <c r="D43" s="2">
        <v>919</v>
      </c>
      <c r="E43" s="2">
        <v>807</v>
      </c>
      <c r="F43" s="2">
        <f>D43+E43</f>
        <v>1726</v>
      </c>
      <c r="G43" s="2">
        <v>151</v>
      </c>
      <c r="H43" s="13">
        <v>0.85</v>
      </c>
    </row>
    <row r="44" spans="1:8" x14ac:dyDescent="0.25">
      <c r="A44" s="1" t="s">
        <v>12</v>
      </c>
      <c r="B44" s="2">
        <v>1714</v>
      </c>
      <c r="C44" s="2">
        <v>45</v>
      </c>
      <c r="D44" s="2">
        <v>2197</v>
      </c>
      <c r="E44" s="2">
        <v>2314</v>
      </c>
      <c r="F44" s="2">
        <f t="shared" ref="F44:F49" si="4">D44+E44</f>
        <v>4511</v>
      </c>
      <c r="G44" s="2">
        <v>117</v>
      </c>
      <c r="H44" s="13">
        <v>0.9</v>
      </c>
    </row>
    <row r="45" spans="1:8" x14ac:dyDescent="0.25">
      <c r="A45" s="1" t="s">
        <v>13</v>
      </c>
      <c r="B45" s="2">
        <v>151</v>
      </c>
      <c r="C45" s="2">
        <v>34</v>
      </c>
      <c r="D45" s="2">
        <v>988</v>
      </c>
      <c r="E45" s="2">
        <v>904</v>
      </c>
      <c r="F45" s="2">
        <f t="shared" si="4"/>
        <v>1892</v>
      </c>
      <c r="G45" s="2">
        <v>427</v>
      </c>
      <c r="H45" s="13">
        <v>0.99</v>
      </c>
    </row>
    <row r="46" spans="1:8" x14ac:dyDescent="0.25">
      <c r="A46" s="1" t="s">
        <v>14</v>
      </c>
      <c r="B46" s="2">
        <v>274</v>
      </c>
      <c r="C46" s="2">
        <v>39</v>
      </c>
      <c r="D46" s="2">
        <v>464</v>
      </c>
      <c r="E46" s="2">
        <v>417</v>
      </c>
      <c r="F46" s="2">
        <f t="shared" si="4"/>
        <v>881</v>
      </c>
      <c r="G46" s="2">
        <v>126</v>
      </c>
      <c r="H46" s="13">
        <v>0.92</v>
      </c>
    </row>
    <row r="47" spans="1:8" x14ac:dyDescent="0.25">
      <c r="A47" s="1" t="s">
        <v>15</v>
      </c>
      <c r="B47" s="2">
        <v>3795</v>
      </c>
      <c r="C47" s="2">
        <v>36</v>
      </c>
      <c r="D47" s="2">
        <v>8453</v>
      </c>
      <c r="E47" s="2">
        <v>7475</v>
      </c>
      <c r="F47" s="2">
        <f t="shared" si="4"/>
        <v>15928</v>
      </c>
      <c r="G47" s="2">
        <v>151</v>
      </c>
      <c r="H47" s="13">
        <v>0.96</v>
      </c>
    </row>
    <row r="48" spans="1:8" x14ac:dyDescent="0.25">
      <c r="A48" s="1" t="s">
        <v>16</v>
      </c>
      <c r="B48" s="2">
        <v>29263</v>
      </c>
      <c r="C48" s="2">
        <v>89</v>
      </c>
      <c r="D48" s="2">
        <v>38325</v>
      </c>
      <c r="E48" s="2">
        <v>35378</v>
      </c>
      <c r="F48" s="2">
        <f t="shared" si="4"/>
        <v>73703</v>
      </c>
      <c r="G48" s="2">
        <v>225</v>
      </c>
      <c r="H48" s="13">
        <v>0.93</v>
      </c>
    </row>
    <row r="49" spans="1:8" x14ac:dyDescent="0.25">
      <c r="A49" s="1" t="s">
        <v>17</v>
      </c>
      <c r="B49" s="2">
        <v>13915</v>
      </c>
      <c r="C49" s="2">
        <v>98</v>
      </c>
      <c r="D49" s="2">
        <v>16102</v>
      </c>
      <c r="E49" s="2">
        <v>13917</v>
      </c>
      <c r="F49" s="2">
        <f t="shared" si="4"/>
        <v>30019</v>
      </c>
      <c r="G49" s="14">
        <v>211</v>
      </c>
      <c r="H49" s="13">
        <v>0.68</v>
      </c>
    </row>
    <row r="50" spans="1:8" ht="15.75" thickBot="1" x14ac:dyDescent="0.3">
      <c r="A50" s="5" t="s">
        <v>18</v>
      </c>
      <c r="B50" s="6">
        <f>SUM(B43:B49)</f>
        <v>49833</v>
      </c>
      <c r="C50" s="6">
        <f t="shared" ref="C50:G50" si="5">SUM(C43:C49)</f>
        <v>404</v>
      </c>
      <c r="D50" s="6">
        <f t="shared" si="5"/>
        <v>67448</v>
      </c>
      <c r="E50" s="6">
        <f t="shared" si="5"/>
        <v>61212</v>
      </c>
      <c r="F50" s="6">
        <f t="shared" si="5"/>
        <v>128660</v>
      </c>
      <c r="G50" s="6">
        <f t="shared" si="5"/>
        <v>1408</v>
      </c>
      <c r="H50" s="17">
        <v>0.88</v>
      </c>
    </row>
    <row r="51" spans="1:8" ht="15.75" x14ac:dyDescent="0.25">
      <c r="A51" s="8"/>
      <c r="B51" s="15"/>
      <c r="C51" s="15"/>
      <c r="D51" s="15"/>
      <c r="E51" s="15"/>
      <c r="F51" s="15"/>
      <c r="G51" s="15"/>
      <c r="H51" s="16"/>
    </row>
    <row r="52" spans="1:8" x14ac:dyDescent="0.25">
      <c r="A52" s="214" t="s">
        <v>19</v>
      </c>
      <c r="B52" s="214"/>
      <c r="C52" s="214"/>
      <c r="D52" s="214"/>
      <c r="E52" s="214"/>
      <c r="F52" s="214"/>
      <c r="G52" s="214"/>
      <c r="H52" s="214"/>
    </row>
    <row r="53" spans="1:8" x14ac:dyDescent="0.25">
      <c r="A53" s="215" t="s">
        <v>20</v>
      </c>
      <c r="B53" s="215"/>
      <c r="C53" s="215"/>
      <c r="D53" s="215"/>
      <c r="E53" s="215"/>
      <c r="F53" s="215"/>
      <c r="G53" s="215"/>
      <c r="H53" s="215"/>
    </row>
    <row r="54" spans="1:8" x14ac:dyDescent="0.25">
      <c r="A54" s="215" t="s">
        <v>21</v>
      </c>
      <c r="B54" s="215"/>
      <c r="C54" s="11"/>
      <c r="D54" s="11"/>
      <c r="E54" s="11"/>
      <c r="F54" s="11"/>
      <c r="G54" s="11"/>
      <c r="H54" s="11"/>
    </row>
    <row r="55" spans="1:8" ht="15.75" thickBot="1" x14ac:dyDescent="0.3"/>
    <row r="56" spans="1:8" ht="19.5" thickBot="1" x14ac:dyDescent="0.3">
      <c r="A56" s="196" t="s">
        <v>0</v>
      </c>
      <c r="B56" s="197"/>
      <c r="C56" s="197"/>
      <c r="D56" s="197"/>
      <c r="E56" s="197"/>
      <c r="F56" s="197"/>
      <c r="G56" s="197"/>
      <c r="H56" s="198"/>
    </row>
    <row r="57" spans="1:8" x14ac:dyDescent="0.25">
      <c r="A57" s="199" t="s">
        <v>206</v>
      </c>
      <c r="B57" s="200"/>
      <c r="C57" s="200"/>
      <c r="D57" s="200"/>
      <c r="E57" s="200"/>
      <c r="F57" s="200"/>
      <c r="G57" s="200"/>
      <c r="H57" s="201"/>
    </row>
    <row r="58" spans="1:8" ht="6" customHeight="1" x14ac:dyDescent="0.25">
      <c r="A58" s="202"/>
      <c r="B58" s="203"/>
      <c r="C58" s="203"/>
      <c r="D58" s="203"/>
      <c r="E58" s="203"/>
      <c r="F58" s="203"/>
      <c r="G58" s="203"/>
      <c r="H58" s="205"/>
    </row>
    <row r="59" spans="1:8" x14ac:dyDescent="0.25">
      <c r="A59" s="206" t="s">
        <v>2</v>
      </c>
      <c r="B59" s="211" t="s">
        <v>3</v>
      </c>
      <c r="C59" s="119" t="s">
        <v>23</v>
      </c>
      <c r="D59" s="211" t="s">
        <v>5</v>
      </c>
      <c r="E59" s="211"/>
      <c r="F59" s="211"/>
      <c r="G59" s="211" t="s">
        <v>6</v>
      </c>
      <c r="H59" s="212" t="s">
        <v>7</v>
      </c>
    </row>
    <row r="60" spans="1:8" ht="60.75" customHeight="1" x14ac:dyDescent="0.25">
      <c r="A60" s="206"/>
      <c r="B60" s="211"/>
      <c r="C60" s="119" t="s">
        <v>24</v>
      </c>
      <c r="D60" s="119" t="s">
        <v>8</v>
      </c>
      <c r="E60" s="119" t="s">
        <v>9</v>
      </c>
      <c r="F60" s="119" t="s">
        <v>10</v>
      </c>
      <c r="G60" s="211"/>
      <c r="H60" s="212"/>
    </row>
    <row r="61" spans="1:8" x14ac:dyDescent="0.25">
      <c r="A61" s="1" t="s">
        <v>11</v>
      </c>
      <c r="B61" s="277">
        <v>665</v>
      </c>
      <c r="C61" s="277">
        <v>58</v>
      </c>
      <c r="D61" s="277">
        <v>815</v>
      </c>
      <c r="E61" s="277">
        <v>651</v>
      </c>
      <c r="F61" s="277">
        <v>1466</v>
      </c>
      <c r="G61" s="277">
        <v>128</v>
      </c>
      <c r="H61" s="278">
        <v>0.97</v>
      </c>
    </row>
    <row r="62" spans="1:8" x14ac:dyDescent="0.25">
      <c r="A62" s="1" t="s">
        <v>12</v>
      </c>
      <c r="B62" s="277">
        <v>1971</v>
      </c>
      <c r="C62" s="277">
        <v>50</v>
      </c>
      <c r="D62" s="277">
        <v>2683</v>
      </c>
      <c r="E62" s="277">
        <v>2743</v>
      </c>
      <c r="F62" s="277">
        <v>5426</v>
      </c>
      <c r="G62" s="277">
        <v>139</v>
      </c>
      <c r="H62" s="278">
        <v>0.9</v>
      </c>
    </row>
    <row r="63" spans="1:8" x14ac:dyDescent="0.25">
      <c r="A63" s="1" t="s">
        <v>13</v>
      </c>
      <c r="B63" s="277">
        <v>117</v>
      </c>
      <c r="C63" s="277">
        <v>26</v>
      </c>
      <c r="D63" s="277">
        <v>678</v>
      </c>
      <c r="E63" s="277">
        <v>653</v>
      </c>
      <c r="F63" s="277">
        <v>1331</v>
      </c>
      <c r="G63" s="277">
        <v>300</v>
      </c>
      <c r="H63" s="278">
        <v>0.99</v>
      </c>
    </row>
    <row r="64" spans="1:8" x14ac:dyDescent="0.25">
      <c r="A64" s="1" t="s">
        <v>14</v>
      </c>
      <c r="B64" s="277">
        <v>215</v>
      </c>
      <c r="C64" s="277">
        <v>31</v>
      </c>
      <c r="D64" s="277">
        <v>324</v>
      </c>
      <c r="E64" s="277">
        <v>284</v>
      </c>
      <c r="F64" s="277">
        <v>608</v>
      </c>
      <c r="G64" s="277">
        <v>87</v>
      </c>
      <c r="H64" s="278">
        <v>0.88</v>
      </c>
    </row>
    <row r="65" spans="1:8" x14ac:dyDescent="0.25">
      <c r="A65" s="1" t="s">
        <v>15</v>
      </c>
      <c r="B65" s="277">
        <v>3625</v>
      </c>
      <c r="C65" s="277">
        <v>34</v>
      </c>
      <c r="D65" s="277">
        <v>7477</v>
      </c>
      <c r="E65" s="277">
        <v>6705</v>
      </c>
      <c r="F65" s="277">
        <v>14182</v>
      </c>
      <c r="G65" s="277">
        <v>134</v>
      </c>
      <c r="H65" s="278">
        <v>0.96</v>
      </c>
    </row>
    <row r="66" spans="1:8" x14ac:dyDescent="0.25">
      <c r="A66" s="1" t="s">
        <v>16</v>
      </c>
      <c r="B66" s="277">
        <v>28322</v>
      </c>
      <c r="C66" s="277">
        <v>87</v>
      </c>
      <c r="D66" s="277">
        <v>36939</v>
      </c>
      <c r="E66" s="277">
        <v>33978</v>
      </c>
      <c r="F66" s="277">
        <v>70917</v>
      </c>
      <c r="G66" s="277">
        <v>217</v>
      </c>
      <c r="H66" s="278">
        <v>0.96</v>
      </c>
    </row>
    <row r="67" spans="1:8" x14ac:dyDescent="0.25">
      <c r="A67" s="1" t="s">
        <v>17</v>
      </c>
      <c r="B67" s="277">
        <v>14807</v>
      </c>
      <c r="C67" s="277">
        <v>104</v>
      </c>
      <c r="D67" s="277">
        <v>16356</v>
      </c>
      <c r="E67" s="277">
        <v>14403</v>
      </c>
      <c r="F67" s="277">
        <v>30759</v>
      </c>
      <c r="G67" s="279">
        <v>216</v>
      </c>
      <c r="H67" s="278">
        <v>0.95</v>
      </c>
    </row>
    <row r="68" spans="1:8" ht="15.75" thickBot="1" x14ac:dyDescent="0.3">
      <c r="A68" s="5" t="s">
        <v>18</v>
      </c>
      <c r="B68" s="280">
        <f>SUM(B61:B67)</f>
        <v>49722</v>
      </c>
      <c r="C68" s="280">
        <f t="shared" ref="C68:G68" si="6">SUM(C61:C67)</f>
        <v>390</v>
      </c>
      <c r="D68" s="280">
        <f t="shared" si="6"/>
        <v>65272</v>
      </c>
      <c r="E68" s="280">
        <f t="shared" si="6"/>
        <v>59417</v>
      </c>
      <c r="F68" s="280">
        <f t="shared" si="6"/>
        <v>124689</v>
      </c>
      <c r="G68" s="280">
        <f t="shared" si="6"/>
        <v>1221</v>
      </c>
      <c r="H68" s="281">
        <v>0.95</v>
      </c>
    </row>
    <row r="69" spans="1:8" ht="15.75" x14ac:dyDescent="0.25">
      <c r="A69" s="8"/>
      <c r="B69" s="15"/>
      <c r="C69" s="15"/>
      <c r="D69" s="15"/>
      <c r="E69" s="15"/>
      <c r="F69" s="15"/>
      <c r="G69" s="15"/>
      <c r="H69" s="16"/>
    </row>
    <row r="70" spans="1:8" x14ac:dyDescent="0.25">
      <c r="A70" s="214" t="s">
        <v>19</v>
      </c>
      <c r="B70" s="214"/>
      <c r="C70" s="214"/>
      <c r="D70" s="214"/>
      <c r="E70" s="214"/>
      <c r="F70" s="214"/>
      <c r="G70" s="214"/>
      <c r="H70" s="214"/>
    </row>
    <row r="71" spans="1:8" x14ac:dyDescent="0.25">
      <c r="A71" s="215" t="s">
        <v>20</v>
      </c>
      <c r="B71" s="215"/>
      <c r="C71" s="215"/>
      <c r="D71" s="215"/>
      <c r="E71" s="215"/>
      <c r="F71" s="215"/>
      <c r="G71" s="215"/>
      <c r="H71" s="215"/>
    </row>
    <row r="72" spans="1:8" x14ac:dyDescent="0.25">
      <c r="A72" s="215" t="s">
        <v>21</v>
      </c>
      <c r="B72" s="215"/>
      <c r="C72" s="11"/>
      <c r="D72" s="11"/>
      <c r="E72" s="11"/>
      <c r="F72" s="11"/>
      <c r="G72" s="11"/>
      <c r="H72" s="11"/>
    </row>
  </sheetData>
  <mergeCells count="41">
    <mergeCell ref="A70:H70"/>
    <mergeCell ref="A71:H71"/>
    <mergeCell ref="A72:B72"/>
    <mergeCell ref="A56:H56"/>
    <mergeCell ref="A57:H58"/>
    <mergeCell ref="A59:A60"/>
    <mergeCell ref="B59:B60"/>
    <mergeCell ref="D59:F59"/>
    <mergeCell ref="G59:G60"/>
    <mergeCell ref="H59:H60"/>
    <mergeCell ref="A52:H52"/>
    <mergeCell ref="A53:H53"/>
    <mergeCell ref="A54:B54"/>
    <mergeCell ref="A34:H34"/>
    <mergeCell ref="A35:H35"/>
    <mergeCell ref="A36:B36"/>
    <mergeCell ref="A38:H38"/>
    <mergeCell ref="A39:H40"/>
    <mergeCell ref="A41:A42"/>
    <mergeCell ref="B41:B42"/>
    <mergeCell ref="D41:F41"/>
    <mergeCell ref="G41:G42"/>
    <mergeCell ref="H41:H42"/>
    <mergeCell ref="A15:H15"/>
    <mergeCell ref="A16:H16"/>
    <mergeCell ref="A17:B17"/>
    <mergeCell ref="A20:H20"/>
    <mergeCell ref="A21:H22"/>
    <mergeCell ref="A23:A24"/>
    <mergeCell ref="B23:B24"/>
    <mergeCell ref="D23:F23"/>
    <mergeCell ref="G23:G24"/>
    <mergeCell ref="H23:H24"/>
    <mergeCell ref="A1:H1"/>
    <mergeCell ref="A2:H3"/>
    <mergeCell ref="A4:A5"/>
    <mergeCell ref="B4:B5"/>
    <mergeCell ref="C4:C5"/>
    <mergeCell ref="D4:F4"/>
    <mergeCell ref="G4:G5"/>
    <mergeCell ref="H4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9" sqref="L9"/>
    </sheetView>
  </sheetViews>
  <sheetFormatPr defaultRowHeight="15" x14ac:dyDescent="0.25"/>
  <cols>
    <col min="2" max="2" width="24.85546875" customWidth="1"/>
  </cols>
  <sheetData>
    <row r="1" spans="1:9" ht="15" customHeight="1" x14ac:dyDescent="0.25">
      <c r="A1" s="216" t="s">
        <v>159</v>
      </c>
      <c r="B1" s="217"/>
      <c r="C1" s="217"/>
      <c r="D1" s="217"/>
      <c r="E1" s="217"/>
      <c r="F1" s="217"/>
      <c r="G1" s="217"/>
      <c r="H1" s="217"/>
      <c r="I1" s="218"/>
    </row>
    <row r="2" spans="1:9" ht="15" customHeight="1" x14ac:dyDescent="0.25">
      <c r="A2" s="219"/>
      <c r="B2" s="220"/>
      <c r="C2" s="220"/>
      <c r="D2" s="220"/>
      <c r="E2" s="220"/>
      <c r="F2" s="220"/>
      <c r="G2" s="220"/>
      <c r="H2" s="220"/>
      <c r="I2" s="221"/>
    </row>
    <row r="3" spans="1:9" ht="45.75" customHeight="1" x14ac:dyDescent="0.25">
      <c r="A3" s="121" t="s">
        <v>160</v>
      </c>
      <c r="B3" s="123" t="s">
        <v>161</v>
      </c>
      <c r="C3" s="123" t="s">
        <v>8</v>
      </c>
      <c r="D3" s="123" t="s">
        <v>9</v>
      </c>
      <c r="E3" s="123" t="s">
        <v>162</v>
      </c>
      <c r="F3" s="123" t="s">
        <v>163</v>
      </c>
      <c r="G3" s="123" t="s">
        <v>164</v>
      </c>
      <c r="H3" s="123" t="s">
        <v>165</v>
      </c>
      <c r="I3" s="124" t="s">
        <v>10</v>
      </c>
    </row>
    <row r="4" spans="1:9" x14ac:dyDescent="0.25">
      <c r="A4" s="104">
        <v>1</v>
      </c>
      <c r="B4" s="105" t="s">
        <v>166</v>
      </c>
      <c r="C4" s="106" t="s">
        <v>167</v>
      </c>
      <c r="D4" s="106" t="s">
        <v>167</v>
      </c>
      <c r="E4" s="106" t="s">
        <v>167</v>
      </c>
      <c r="F4" s="106" t="s">
        <v>167</v>
      </c>
      <c r="G4" s="106" t="s">
        <v>167</v>
      </c>
      <c r="H4" s="106" t="s">
        <v>167</v>
      </c>
      <c r="I4" s="106" t="s">
        <v>167</v>
      </c>
    </row>
    <row r="5" spans="1:9" x14ac:dyDescent="0.25">
      <c r="A5" s="104">
        <v>2</v>
      </c>
      <c r="B5" s="105" t="s">
        <v>68</v>
      </c>
      <c r="C5" s="106" t="s">
        <v>167</v>
      </c>
      <c r="D5" s="106" t="s">
        <v>167</v>
      </c>
      <c r="E5" s="106" t="s">
        <v>167</v>
      </c>
      <c r="F5" s="106" t="s">
        <v>167</v>
      </c>
      <c r="G5" s="106" t="s">
        <v>167</v>
      </c>
      <c r="H5" s="106" t="s">
        <v>167</v>
      </c>
      <c r="I5" s="106" t="s">
        <v>167</v>
      </c>
    </row>
    <row r="6" spans="1:9" x14ac:dyDescent="0.25">
      <c r="A6" s="104">
        <v>3</v>
      </c>
      <c r="B6" s="105" t="s">
        <v>39</v>
      </c>
      <c r="C6" s="106" t="s">
        <v>167</v>
      </c>
      <c r="D6" s="106" t="s">
        <v>167</v>
      </c>
      <c r="E6" s="106" t="s">
        <v>167</v>
      </c>
      <c r="F6" s="106" t="s">
        <v>167</v>
      </c>
      <c r="G6" s="106" t="s">
        <v>167</v>
      </c>
      <c r="H6" s="106" t="s">
        <v>167</v>
      </c>
      <c r="I6" s="106" t="s">
        <v>167</v>
      </c>
    </row>
    <row r="7" spans="1:9" x14ac:dyDescent="0.25">
      <c r="A7" s="104">
        <v>4</v>
      </c>
      <c r="B7" s="105" t="s">
        <v>40</v>
      </c>
      <c r="C7" s="106">
        <v>212</v>
      </c>
      <c r="D7" s="106">
        <v>40</v>
      </c>
      <c r="E7" s="106">
        <v>211</v>
      </c>
      <c r="F7" s="106">
        <v>2</v>
      </c>
      <c r="G7" s="106">
        <v>34</v>
      </c>
      <c r="H7" s="106">
        <v>5</v>
      </c>
      <c r="I7" s="107">
        <f>SUM(E7:H7)</f>
        <v>252</v>
      </c>
    </row>
    <row r="8" spans="1:9" x14ac:dyDescent="0.25">
      <c r="A8" s="104">
        <v>5</v>
      </c>
      <c r="B8" s="105" t="s">
        <v>41</v>
      </c>
      <c r="C8" s="106">
        <v>195</v>
      </c>
      <c r="D8" s="106">
        <v>55</v>
      </c>
      <c r="E8" s="106">
        <v>153</v>
      </c>
      <c r="F8" s="106">
        <v>11</v>
      </c>
      <c r="G8" s="106">
        <v>64</v>
      </c>
      <c r="H8" s="106">
        <v>22</v>
      </c>
      <c r="I8" s="107">
        <f t="shared" ref="I7:I15" si="0">SUM(E8:H8)</f>
        <v>250</v>
      </c>
    </row>
    <row r="9" spans="1:9" x14ac:dyDescent="0.25">
      <c r="A9" s="104">
        <v>6</v>
      </c>
      <c r="B9" s="105" t="s">
        <v>42</v>
      </c>
      <c r="C9" s="106">
        <v>16</v>
      </c>
      <c r="D9" s="106">
        <v>6</v>
      </c>
      <c r="E9" s="106">
        <v>14</v>
      </c>
      <c r="F9" s="106">
        <v>1</v>
      </c>
      <c r="G9" s="106">
        <v>6</v>
      </c>
      <c r="H9" s="106">
        <v>1</v>
      </c>
      <c r="I9" s="107">
        <f t="shared" si="0"/>
        <v>22</v>
      </c>
    </row>
    <row r="10" spans="1:9" x14ac:dyDescent="0.25">
      <c r="A10" s="104">
        <v>7</v>
      </c>
      <c r="B10" s="105" t="s">
        <v>43</v>
      </c>
      <c r="C10" s="106">
        <v>78</v>
      </c>
      <c r="D10" s="106">
        <v>6</v>
      </c>
      <c r="E10" s="106">
        <v>36</v>
      </c>
      <c r="F10" s="106">
        <v>3</v>
      </c>
      <c r="G10" s="106">
        <v>40</v>
      </c>
      <c r="H10" s="106">
        <v>5</v>
      </c>
      <c r="I10" s="107">
        <f t="shared" si="0"/>
        <v>84</v>
      </c>
    </row>
    <row r="11" spans="1:9" x14ac:dyDescent="0.25">
      <c r="A11" s="104">
        <v>8</v>
      </c>
      <c r="B11" s="105" t="s">
        <v>44</v>
      </c>
      <c r="C11" s="106">
        <v>198</v>
      </c>
      <c r="D11" s="106">
        <v>30</v>
      </c>
      <c r="E11" s="106">
        <v>195</v>
      </c>
      <c r="F11" s="106">
        <v>9</v>
      </c>
      <c r="G11" s="106">
        <v>21</v>
      </c>
      <c r="H11" s="106">
        <v>3</v>
      </c>
      <c r="I11" s="107">
        <f t="shared" si="0"/>
        <v>228</v>
      </c>
    </row>
    <row r="12" spans="1:9" x14ac:dyDescent="0.25">
      <c r="A12" s="104">
        <v>9</v>
      </c>
      <c r="B12" s="105" t="s">
        <v>45</v>
      </c>
      <c r="C12" s="106">
        <v>101</v>
      </c>
      <c r="D12" s="106">
        <v>22</v>
      </c>
      <c r="E12" s="106">
        <v>72</v>
      </c>
      <c r="F12" s="106">
        <v>2</v>
      </c>
      <c r="G12" s="106">
        <v>42</v>
      </c>
      <c r="H12" s="106">
        <v>7</v>
      </c>
      <c r="I12" s="107">
        <f t="shared" si="0"/>
        <v>123</v>
      </c>
    </row>
    <row r="13" spans="1:9" x14ac:dyDescent="0.25">
      <c r="A13" s="104">
        <v>10</v>
      </c>
      <c r="B13" s="105" t="s">
        <v>46</v>
      </c>
      <c r="C13" s="106">
        <v>58</v>
      </c>
      <c r="D13" s="106">
        <v>10</v>
      </c>
      <c r="E13" s="106">
        <v>44</v>
      </c>
      <c r="F13" s="106">
        <v>2</v>
      </c>
      <c r="G13" s="106">
        <v>20</v>
      </c>
      <c r="H13" s="106">
        <v>2</v>
      </c>
      <c r="I13" s="107">
        <f t="shared" si="0"/>
        <v>68</v>
      </c>
    </row>
    <row r="14" spans="1:9" x14ac:dyDescent="0.25">
      <c r="A14" s="104">
        <v>11</v>
      </c>
      <c r="B14" s="105" t="s">
        <v>47</v>
      </c>
      <c r="C14" s="106">
        <v>119</v>
      </c>
      <c r="D14" s="106">
        <v>17</v>
      </c>
      <c r="E14" s="106">
        <v>123</v>
      </c>
      <c r="F14" s="106">
        <v>3</v>
      </c>
      <c r="G14" s="106">
        <v>8</v>
      </c>
      <c r="H14" s="106">
        <v>2</v>
      </c>
      <c r="I14" s="107">
        <f t="shared" si="0"/>
        <v>136</v>
      </c>
    </row>
    <row r="15" spans="1:9" x14ac:dyDescent="0.25">
      <c r="A15" s="104">
        <v>12</v>
      </c>
      <c r="B15" s="105" t="s">
        <v>48</v>
      </c>
      <c r="C15" s="106">
        <v>139</v>
      </c>
      <c r="D15" s="106">
        <v>23</v>
      </c>
      <c r="E15" s="106">
        <v>108</v>
      </c>
      <c r="F15" s="106">
        <v>4</v>
      </c>
      <c r="G15" s="106">
        <v>32</v>
      </c>
      <c r="H15" s="106">
        <v>18</v>
      </c>
      <c r="I15" s="107">
        <f t="shared" si="0"/>
        <v>162</v>
      </c>
    </row>
    <row r="16" spans="1:9" ht="15.75" thickBot="1" x14ac:dyDescent="0.3">
      <c r="A16" s="108"/>
      <c r="B16" s="109" t="s">
        <v>10</v>
      </c>
      <c r="C16" s="110">
        <f xml:space="preserve"> SUM(C4:C15)</f>
        <v>1116</v>
      </c>
      <c r="D16" s="110">
        <f t="shared" ref="D16:I16" si="1" xml:space="preserve"> SUM(D4:D15)</f>
        <v>209</v>
      </c>
      <c r="E16" s="110">
        <f t="shared" si="1"/>
        <v>956</v>
      </c>
      <c r="F16" s="110">
        <f t="shared" si="1"/>
        <v>37</v>
      </c>
      <c r="G16" s="110">
        <f t="shared" si="1"/>
        <v>267</v>
      </c>
      <c r="H16" s="110">
        <f t="shared" si="1"/>
        <v>65</v>
      </c>
      <c r="I16" s="110">
        <f t="shared" si="1"/>
        <v>1325</v>
      </c>
    </row>
    <row r="17" spans="1:8" ht="15.75" x14ac:dyDescent="0.25">
      <c r="A17" s="54" t="s">
        <v>168</v>
      </c>
    </row>
    <row r="18" spans="1:8" ht="15.75" x14ac:dyDescent="0.25">
      <c r="A18" s="54" t="s">
        <v>169</v>
      </c>
    </row>
    <row r="19" spans="1:8" ht="15.75" thickBot="1" x14ac:dyDescent="0.3">
      <c r="A19" s="54"/>
    </row>
    <row r="20" spans="1:8" ht="15" customHeight="1" x14ac:dyDescent="0.25">
      <c r="A20" s="222" t="s">
        <v>175</v>
      </c>
      <c r="B20" s="223"/>
      <c r="C20" s="223"/>
      <c r="D20" s="223"/>
      <c r="E20" s="223"/>
      <c r="F20" s="223"/>
      <c r="G20" s="223"/>
      <c r="H20" s="224"/>
    </row>
    <row r="21" spans="1:8" ht="15.75" customHeight="1" thickBot="1" x14ac:dyDescent="0.3">
      <c r="A21" s="225"/>
      <c r="B21" s="226"/>
      <c r="C21" s="226"/>
      <c r="D21" s="226"/>
      <c r="E21" s="226"/>
      <c r="F21" s="226"/>
      <c r="G21" s="226"/>
      <c r="H21" s="227"/>
    </row>
    <row r="22" spans="1:8" ht="35.25" customHeight="1" x14ac:dyDescent="0.25">
      <c r="A22" s="228" t="s">
        <v>160</v>
      </c>
      <c r="B22" s="230" t="s">
        <v>161</v>
      </c>
      <c r="C22" s="230" t="s">
        <v>8</v>
      </c>
      <c r="D22" s="230" t="s">
        <v>9</v>
      </c>
      <c r="E22" s="122" t="s">
        <v>170</v>
      </c>
      <c r="F22" s="230" t="s">
        <v>171</v>
      </c>
      <c r="G22" s="230" t="s">
        <v>165</v>
      </c>
      <c r="H22" s="232" t="s">
        <v>10</v>
      </c>
    </row>
    <row r="23" spans="1:8" ht="15" hidden="1" customHeight="1" x14ac:dyDescent="0.25">
      <c r="A23" s="229"/>
      <c r="B23" s="231"/>
      <c r="C23" s="231"/>
      <c r="D23" s="231"/>
      <c r="E23" s="123" t="s">
        <v>172</v>
      </c>
      <c r="F23" s="231"/>
      <c r="G23" s="231"/>
      <c r="H23" s="233"/>
    </row>
    <row r="24" spans="1:8" x14ac:dyDescent="0.25">
      <c r="A24" s="111">
        <v>1</v>
      </c>
      <c r="B24" s="105" t="s">
        <v>37</v>
      </c>
      <c r="C24" s="106" t="s">
        <v>167</v>
      </c>
      <c r="D24" s="106" t="s">
        <v>167</v>
      </c>
      <c r="E24" s="106" t="s">
        <v>167</v>
      </c>
      <c r="F24" s="106" t="s">
        <v>167</v>
      </c>
      <c r="G24" s="106" t="s">
        <v>167</v>
      </c>
      <c r="H24" s="106" t="s">
        <v>167</v>
      </c>
    </row>
    <row r="25" spans="1:8" x14ac:dyDescent="0.25">
      <c r="A25" s="111">
        <v>2</v>
      </c>
      <c r="B25" s="105" t="s">
        <v>68</v>
      </c>
      <c r="C25" s="106" t="s">
        <v>167</v>
      </c>
      <c r="D25" s="106" t="s">
        <v>167</v>
      </c>
      <c r="E25" s="106" t="s">
        <v>167</v>
      </c>
      <c r="F25" s="106" t="s">
        <v>167</v>
      </c>
      <c r="G25" s="106" t="s">
        <v>167</v>
      </c>
      <c r="H25" s="106" t="s">
        <v>167</v>
      </c>
    </row>
    <row r="26" spans="1:8" x14ac:dyDescent="0.25">
      <c r="A26" s="111">
        <v>3</v>
      </c>
      <c r="B26" s="105" t="s">
        <v>39</v>
      </c>
      <c r="C26" s="106" t="s">
        <v>167</v>
      </c>
      <c r="D26" s="106" t="s">
        <v>167</v>
      </c>
      <c r="E26" s="106" t="s">
        <v>167</v>
      </c>
      <c r="F26" s="106" t="s">
        <v>167</v>
      </c>
      <c r="G26" s="106" t="s">
        <v>167</v>
      </c>
      <c r="H26" s="106" t="s">
        <v>167</v>
      </c>
    </row>
    <row r="27" spans="1:8" x14ac:dyDescent="0.25">
      <c r="A27" s="111">
        <v>4</v>
      </c>
      <c r="B27" s="105" t="s">
        <v>40</v>
      </c>
      <c r="C27" s="106" t="s">
        <v>167</v>
      </c>
      <c r="D27" s="106" t="s">
        <v>167</v>
      </c>
      <c r="E27" s="106" t="s">
        <v>167</v>
      </c>
      <c r="F27" s="106" t="s">
        <v>167</v>
      </c>
      <c r="G27" s="106" t="s">
        <v>167</v>
      </c>
      <c r="H27" s="106" t="s">
        <v>167</v>
      </c>
    </row>
    <row r="28" spans="1:8" x14ac:dyDescent="0.25">
      <c r="A28" s="111">
        <v>5</v>
      </c>
      <c r="B28" s="105" t="s">
        <v>41</v>
      </c>
      <c r="C28" s="112">
        <v>1</v>
      </c>
      <c r="D28" s="112">
        <v>0</v>
      </c>
      <c r="E28" s="112">
        <v>1</v>
      </c>
      <c r="F28" s="112">
        <v>0</v>
      </c>
      <c r="G28" s="112">
        <v>0</v>
      </c>
      <c r="H28" s="112">
        <v>1</v>
      </c>
    </row>
    <row r="29" spans="1:8" x14ac:dyDescent="0.25">
      <c r="A29" s="111">
        <v>6</v>
      </c>
      <c r="B29" s="105" t="s">
        <v>42</v>
      </c>
      <c r="C29" s="106" t="s">
        <v>167</v>
      </c>
      <c r="D29" s="106" t="s">
        <v>167</v>
      </c>
      <c r="E29" s="106" t="s">
        <v>167</v>
      </c>
      <c r="F29" s="106" t="s">
        <v>167</v>
      </c>
      <c r="G29" s="106" t="s">
        <v>167</v>
      </c>
      <c r="H29" s="106" t="s">
        <v>167</v>
      </c>
    </row>
    <row r="30" spans="1:8" x14ac:dyDescent="0.25">
      <c r="A30" s="111">
        <v>7</v>
      </c>
      <c r="B30" s="105" t="s">
        <v>43</v>
      </c>
      <c r="C30" s="106" t="s">
        <v>167</v>
      </c>
      <c r="D30" s="106" t="s">
        <v>167</v>
      </c>
      <c r="E30" s="106" t="s">
        <v>167</v>
      </c>
      <c r="F30" s="106" t="s">
        <v>167</v>
      </c>
      <c r="G30" s="106" t="s">
        <v>167</v>
      </c>
      <c r="H30" s="106" t="s">
        <v>167</v>
      </c>
    </row>
    <row r="31" spans="1:8" x14ac:dyDescent="0.25">
      <c r="A31" s="111">
        <v>8</v>
      </c>
      <c r="B31" s="105" t="s">
        <v>44</v>
      </c>
      <c r="C31" s="106" t="s">
        <v>167</v>
      </c>
      <c r="D31" s="106" t="s">
        <v>167</v>
      </c>
      <c r="E31" s="106" t="s">
        <v>167</v>
      </c>
      <c r="F31" s="106" t="s">
        <v>167</v>
      </c>
      <c r="G31" s="106" t="s">
        <v>167</v>
      </c>
      <c r="H31" s="106" t="s">
        <v>167</v>
      </c>
    </row>
    <row r="32" spans="1:8" x14ac:dyDescent="0.25">
      <c r="A32" s="111">
        <v>9</v>
      </c>
      <c r="B32" s="105" t="s">
        <v>45</v>
      </c>
      <c r="C32" s="106" t="s">
        <v>167</v>
      </c>
      <c r="D32" s="106" t="s">
        <v>167</v>
      </c>
      <c r="E32" s="106" t="s">
        <v>167</v>
      </c>
      <c r="F32" s="106" t="s">
        <v>167</v>
      </c>
      <c r="G32" s="106" t="s">
        <v>167</v>
      </c>
      <c r="H32" s="106" t="s">
        <v>167</v>
      </c>
    </row>
    <row r="33" spans="1:8" x14ac:dyDescent="0.25">
      <c r="A33" s="111">
        <v>10</v>
      </c>
      <c r="B33" s="105" t="s">
        <v>46</v>
      </c>
      <c r="C33" s="106" t="s">
        <v>167</v>
      </c>
      <c r="D33" s="106" t="s">
        <v>167</v>
      </c>
      <c r="E33" s="106" t="s">
        <v>167</v>
      </c>
      <c r="F33" s="106" t="s">
        <v>167</v>
      </c>
      <c r="G33" s="106" t="s">
        <v>167</v>
      </c>
      <c r="H33" s="106" t="s">
        <v>167</v>
      </c>
    </row>
    <row r="34" spans="1:8" x14ac:dyDescent="0.25">
      <c r="A34" s="111">
        <v>11</v>
      </c>
      <c r="B34" s="105" t="s">
        <v>47</v>
      </c>
      <c r="C34" s="106" t="s">
        <v>167</v>
      </c>
      <c r="D34" s="106" t="s">
        <v>167</v>
      </c>
      <c r="E34" s="106" t="s">
        <v>167</v>
      </c>
      <c r="F34" s="106" t="s">
        <v>167</v>
      </c>
      <c r="G34" s="106" t="s">
        <v>167</v>
      </c>
      <c r="H34" s="106" t="s">
        <v>167</v>
      </c>
    </row>
    <row r="35" spans="1:8" ht="15.75" thickBot="1" x14ac:dyDescent="0.3">
      <c r="A35" s="113">
        <v>12</v>
      </c>
      <c r="B35" s="114" t="s">
        <v>48</v>
      </c>
      <c r="C35" s="112">
        <v>1</v>
      </c>
      <c r="D35" s="112">
        <v>0</v>
      </c>
      <c r="E35" s="112">
        <v>1</v>
      </c>
      <c r="F35" s="112">
        <v>0</v>
      </c>
      <c r="G35" s="112">
        <v>0</v>
      </c>
      <c r="H35" s="112">
        <v>1</v>
      </c>
    </row>
    <row r="36" spans="1:8" ht="15.75" thickBot="1" x14ac:dyDescent="0.3">
      <c r="A36" s="115"/>
      <c r="B36" s="116" t="s">
        <v>10</v>
      </c>
      <c r="C36" s="117">
        <f>SUM(C24:C35)</f>
        <v>2</v>
      </c>
      <c r="D36" s="117">
        <f t="shared" ref="D36:H36" si="2">SUM(D24:D35)</f>
        <v>0</v>
      </c>
      <c r="E36" s="117">
        <f t="shared" si="2"/>
        <v>2</v>
      </c>
      <c r="F36" s="117">
        <f t="shared" si="2"/>
        <v>0</v>
      </c>
      <c r="G36" s="117">
        <f t="shared" si="2"/>
        <v>0</v>
      </c>
      <c r="H36" s="118">
        <f t="shared" si="2"/>
        <v>2</v>
      </c>
    </row>
    <row r="37" spans="1:8" ht="15.75" x14ac:dyDescent="0.25">
      <c r="A37" s="54" t="s">
        <v>173</v>
      </c>
    </row>
    <row r="38" spans="1:8" ht="15.75" x14ac:dyDescent="0.25">
      <c r="A38" s="54" t="s">
        <v>174</v>
      </c>
    </row>
  </sheetData>
  <mergeCells count="9">
    <mergeCell ref="A1:I2"/>
    <mergeCell ref="A20:H21"/>
    <mergeCell ref="A22:A23"/>
    <mergeCell ref="B22:B23"/>
    <mergeCell ref="C22:C23"/>
    <mergeCell ref="D22:D23"/>
    <mergeCell ref="F22:F23"/>
    <mergeCell ref="G22:G23"/>
    <mergeCell ref="H22:H23"/>
  </mergeCells>
  <pageMargins left="0.7" right="0.7" top="0.75" bottom="0.75" header="0.3" footer="0.3"/>
  <ignoredErrors>
    <ignoredError sqref="I7:I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1" sqref="G21"/>
    </sheetView>
  </sheetViews>
  <sheetFormatPr defaultRowHeight="15" x14ac:dyDescent="0.25"/>
  <cols>
    <col min="1" max="1" width="19" customWidth="1"/>
    <col min="2" max="2" width="20" customWidth="1"/>
    <col min="3" max="3" width="15.5703125" customWidth="1"/>
    <col min="4" max="6" width="12.85546875" customWidth="1"/>
    <col min="7" max="7" width="15" customWidth="1"/>
  </cols>
  <sheetData>
    <row r="1" spans="1:7" x14ac:dyDescent="0.25">
      <c r="A1" s="234" t="s">
        <v>176</v>
      </c>
      <c r="B1" s="235"/>
      <c r="C1" s="235"/>
      <c r="D1" s="235"/>
      <c r="E1" s="235"/>
      <c r="F1" s="235"/>
      <c r="G1" s="236"/>
    </row>
    <row r="2" spans="1:7" x14ac:dyDescent="0.25">
      <c r="A2" s="237"/>
      <c r="B2" s="238"/>
      <c r="C2" s="238"/>
      <c r="D2" s="238"/>
      <c r="E2" s="238"/>
      <c r="F2" s="238"/>
      <c r="G2" s="239"/>
    </row>
    <row r="3" spans="1:7" x14ac:dyDescent="0.25">
      <c r="A3" s="240" t="s">
        <v>177</v>
      </c>
      <c r="B3" s="241" t="s">
        <v>178</v>
      </c>
      <c r="C3" s="241"/>
      <c r="D3" s="241"/>
      <c r="E3" s="241"/>
      <c r="F3" s="241"/>
      <c r="G3" s="242"/>
    </row>
    <row r="4" spans="1:7" x14ac:dyDescent="0.25">
      <c r="A4" s="240"/>
      <c r="B4" s="241" t="s">
        <v>10</v>
      </c>
      <c r="C4" s="125" t="s">
        <v>179</v>
      </c>
      <c r="D4" s="241" t="s">
        <v>180</v>
      </c>
      <c r="E4" s="125" t="s">
        <v>181</v>
      </c>
      <c r="F4" s="241" t="s">
        <v>182</v>
      </c>
      <c r="G4" s="242" t="s">
        <v>183</v>
      </c>
    </row>
    <row r="5" spans="1:7" x14ac:dyDescent="0.25">
      <c r="A5" s="240"/>
      <c r="B5" s="241"/>
      <c r="C5" s="125" t="s">
        <v>184</v>
      </c>
      <c r="D5" s="241"/>
      <c r="E5" s="125" t="s">
        <v>185</v>
      </c>
      <c r="F5" s="241"/>
      <c r="G5" s="242"/>
    </row>
    <row r="6" spans="1:7" x14ac:dyDescent="0.25">
      <c r="A6" s="126" t="s">
        <v>37</v>
      </c>
      <c r="B6" s="127">
        <f>C6+D6+E6+F6+G6</f>
        <v>190179006</v>
      </c>
      <c r="C6" s="128">
        <v>70958789</v>
      </c>
      <c r="D6" s="128">
        <v>47406967</v>
      </c>
      <c r="E6" s="128">
        <v>25281450</v>
      </c>
      <c r="F6" s="128">
        <v>44785965</v>
      </c>
      <c r="G6" s="129">
        <v>1745835</v>
      </c>
    </row>
    <row r="7" spans="1:7" x14ac:dyDescent="0.25">
      <c r="A7" s="126" t="s">
        <v>68</v>
      </c>
      <c r="B7" s="130">
        <f t="shared" ref="B7:B17" si="0">C7+D7+E7+F7+G7</f>
        <v>191457780</v>
      </c>
      <c r="C7" s="128">
        <v>71567357</v>
      </c>
      <c r="D7" s="128">
        <v>47806618</v>
      </c>
      <c r="E7" s="128">
        <v>25506714</v>
      </c>
      <c r="F7" s="128">
        <v>44820279</v>
      </c>
      <c r="G7" s="129">
        <v>1756812</v>
      </c>
    </row>
    <row r="8" spans="1:7" x14ac:dyDescent="0.25">
      <c r="A8" s="126" t="s">
        <v>39</v>
      </c>
      <c r="B8" s="130">
        <f t="shared" si="0"/>
        <v>192067288</v>
      </c>
      <c r="C8" s="128">
        <v>71690401</v>
      </c>
      <c r="D8" s="128">
        <v>48180410</v>
      </c>
      <c r="E8" s="128">
        <v>25489791</v>
      </c>
      <c r="F8" s="128">
        <v>44943388</v>
      </c>
      <c r="G8" s="129">
        <v>1763298</v>
      </c>
    </row>
    <row r="9" spans="1:7" x14ac:dyDescent="0.25">
      <c r="A9" s="131" t="s">
        <v>40</v>
      </c>
      <c r="B9" s="130">
        <f t="shared" si="0"/>
        <v>192185925</v>
      </c>
      <c r="C9" s="132">
        <v>71596278</v>
      </c>
      <c r="D9" s="132">
        <v>48427170</v>
      </c>
      <c r="E9" s="132">
        <v>25526464</v>
      </c>
      <c r="F9" s="132">
        <v>44863479</v>
      </c>
      <c r="G9" s="132">
        <v>1772534</v>
      </c>
    </row>
    <row r="10" spans="1:7" x14ac:dyDescent="0.25">
      <c r="A10" s="131" t="s">
        <v>41</v>
      </c>
      <c r="B10" s="130">
        <f t="shared" si="0"/>
        <v>192321847</v>
      </c>
      <c r="C10" s="132">
        <v>71428570</v>
      </c>
      <c r="D10" s="132">
        <v>48651701</v>
      </c>
      <c r="E10" s="132">
        <v>25678997</v>
      </c>
      <c r="F10" s="132">
        <v>44771129</v>
      </c>
      <c r="G10" s="132">
        <v>1791450</v>
      </c>
    </row>
    <row r="11" spans="1:7" x14ac:dyDescent="0.25">
      <c r="A11" s="131" t="s">
        <v>186</v>
      </c>
      <c r="B11" s="130">
        <f t="shared" si="0"/>
        <v>192538178</v>
      </c>
      <c r="C11" s="132">
        <v>71363495</v>
      </c>
      <c r="D11" s="132">
        <v>48890982</v>
      </c>
      <c r="E11" s="132">
        <v>25837203</v>
      </c>
      <c r="F11" s="132">
        <v>44629312</v>
      </c>
      <c r="G11" s="132">
        <v>1817186</v>
      </c>
    </row>
    <row r="12" spans="1:7" x14ac:dyDescent="0.25">
      <c r="A12" s="131" t="s">
        <v>43</v>
      </c>
      <c r="B12" s="130">
        <f t="shared" si="0"/>
        <v>192924184</v>
      </c>
      <c r="C12" s="132">
        <v>71385698</v>
      </c>
      <c r="D12" s="132">
        <v>49183751</v>
      </c>
      <c r="E12" s="132">
        <v>25971614</v>
      </c>
      <c r="F12" s="132">
        <v>44550773</v>
      </c>
      <c r="G12" s="132">
        <v>1832348</v>
      </c>
    </row>
    <row r="13" spans="1:7" x14ac:dyDescent="0.25">
      <c r="A13" s="131" t="s">
        <v>44</v>
      </c>
      <c r="B13" s="130">
        <f t="shared" si="0"/>
        <v>193098749</v>
      </c>
      <c r="C13" s="132">
        <v>71425031</v>
      </c>
      <c r="D13" s="132">
        <v>49455143</v>
      </c>
      <c r="E13" s="132">
        <v>26066873</v>
      </c>
      <c r="F13" s="132">
        <v>44304477</v>
      </c>
      <c r="G13" s="132">
        <v>1847225</v>
      </c>
    </row>
    <row r="14" spans="1:7" x14ac:dyDescent="0.25">
      <c r="A14" s="131" t="s">
        <v>45</v>
      </c>
      <c r="B14" s="130">
        <f t="shared" si="0"/>
        <v>193346156</v>
      </c>
      <c r="C14" s="132">
        <v>71569460</v>
      </c>
      <c r="D14" s="132">
        <v>49671507</v>
      </c>
      <c r="E14" s="132">
        <v>26096613</v>
      </c>
      <c r="F14" s="132">
        <v>44149099</v>
      </c>
      <c r="G14" s="132">
        <v>1859477</v>
      </c>
    </row>
    <row r="15" spans="1:7" x14ac:dyDescent="0.25">
      <c r="A15" s="131" t="s">
        <v>46</v>
      </c>
      <c r="B15" s="130">
        <f t="shared" si="0"/>
        <v>193309199</v>
      </c>
      <c r="C15" s="132">
        <v>71563434</v>
      </c>
      <c r="D15" s="132">
        <v>49835453</v>
      </c>
      <c r="E15" s="132">
        <v>26093538</v>
      </c>
      <c r="F15" s="132">
        <v>43948019</v>
      </c>
      <c r="G15" s="132">
        <v>1868755</v>
      </c>
    </row>
    <row r="16" spans="1:7" x14ac:dyDescent="0.25">
      <c r="A16" s="131" t="s">
        <v>47</v>
      </c>
      <c r="B16" s="130">
        <f t="shared" si="0"/>
        <v>193238238</v>
      </c>
      <c r="C16" s="132">
        <v>71475959</v>
      </c>
      <c r="D16" s="132">
        <v>50001042</v>
      </c>
      <c r="E16" s="132">
        <v>26081238</v>
      </c>
      <c r="F16" s="132">
        <v>43729971</v>
      </c>
      <c r="G16" s="132">
        <v>1950028</v>
      </c>
    </row>
    <row r="17" spans="1:7" x14ac:dyDescent="0.25">
      <c r="A17" s="131" t="s">
        <v>48</v>
      </c>
      <c r="B17" s="130">
        <f t="shared" si="0"/>
        <v>193308563</v>
      </c>
      <c r="C17" s="132">
        <v>71526446</v>
      </c>
      <c r="D17" s="132">
        <v>50198110</v>
      </c>
      <c r="E17" s="132">
        <v>26137455</v>
      </c>
      <c r="F17" s="132">
        <v>43537353</v>
      </c>
      <c r="G17" s="132">
        <v>1909199</v>
      </c>
    </row>
    <row r="18" spans="1:7" ht="15.75" thickBot="1" x14ac:dyDescent="0.3">
      <c r="A18" s="133" t="s">
        <v>187</v>
      </c>
      <c r="B18" s="134">
        <f>SUM(B6:B17)</f>
        <v>2309975113</v>
      </c>
      <c r="C18" s="134">
        <f t="shared" ref="C18:G18" si="1">SUM(C6:C17)</f>
        <v>857550918</v>
      </c>
      <c r="D18" s="134">
        <f t="shared" si="1"/>
        <v>587708854</v>
      </c>
      <c r="E18" s="134">
        <f t="shared" si="1"/>
        <v>309767950</v>
      </c>
      <c r="F18" s="134">
        <f t="shared" si="1"/>
        <v>533033244</v>
      </c>
      <c r="G18" s="134">
        <f t="shared" si="1"/>
        <v>21914147</v>
      </c>
    </row>
    <row r="19" spans="1:7" ht="15.75" x14ac:dyDescent="0.25">
      <c r="A19" s="135" t="s">
        <v>188</v>
      </c>
      <c r="B19" s="136"/>
      <c r="C19" s="136"/>
      <c r="D19" s="136"/>
      <c r="E19" s="136"/>
    </row>
    <row r="20" spans="1:7" ht="15.75" x14ac:dyDescent="0.25">
      <c r="A20" s="137" t="s">
        <v>189</v>
      </c>
      <c r="B20" s="136" t="s">
        <v>190</v>
      </c>
      <c r="C20" s="136"/>
      <c r="D20" s="136"/>
    </row>
  </sheetData>
  <mergeCells count="7">
    <mergeCell ref="A1:G2"/>
    <mergeCell ref="A3:A5"/>
    <mergeCell ref="B3:G3"/>
    <mergeCell ref="B4:B5"/>
    <mergeCell ref="D4:D5"/>
    <mergeCell ref="F4:F5"/>
    <mergeCell ref="G4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abSelected="1" workbookViewId="0">
      <selection activeCell="G19" sqref="G19"/>
    </sheetView>
  </sheetViews>
  <sheetFormatPr defaultRowHeight="15" x14ac:dyDescent="0.25"/>
  <cols>
    <col min="1" max="1" width="52.140625" customWidth="1"/>
  </cols>
  <sheetData>
    <row r="1" spans="1:13" x14ac:dyDescent="0.25">
      <c r="A1" s="154" t="s">
        <v>85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3" ht="15.75" thickBot="1" x14ac:dyDescent="0.3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9"/>
    </row>
    <row r="3" spans="1:13" x14ac:dyDescent="0.25">
      <c r="A3" s="160" t="s">
        <v>86</v>
      </c>
      <c r="B3" s="162" t="s">
        <v>37</v>
      </c>
      <c r="C3" s="162"/>
      <c r="D3" s="162" t="s">
        <v>68</v>
      </c>
      <c r="E3" s="162"/>
      <c r="F3" s="162" t="s">
        <v>87</v>
      </c>
      <c r="G3" s="162"/>
      <c r="H3" s="162" t="s">
        <v>40</v>
      </c>
      <c r="I3" s="162"/>
      <c r="J3" s="162" t="s">
        <v>41</v>
      </c>
      <c r="K3" s="162"/>
      <c r="L3" s="163" t="s">
        <v>42</v>
      </c>
      <c r="M3" s="164"/>
    </row>
    <row r="4" spans="1:13" x14ac:dyDescent="0.25">
      <c r="A4" s="161"/>
      <c r="B4" s="75" t="s">
        <v>88</v>
      </c>
      <c r="C4" s="75" t="s">
        <v>89</v>
      </c>
      <c r="D4" s="75" t="s">
        <v>88</v>
      </c>
      <c r="E4" s="75" t="s">
        <v>89</v>
      </c>
      <c r="F4" s="75" t="s">
        <v>88</v>
      </c>
      <c r="G4" s="75" t="s">
        <v>89</v>
      </c>
      <c r="H4" s="75" t="s">
        <v>88</v>
      </c>
      <c r="I4" s="75" t="s">
        <v>89</v>
      </c>
      <c r="J4" s="75" t="s">
        <v>88</v>
      </c>
      <c r="K4" s="75" t="s">
        <v>89</v>
      </c>
      <c r="L4" s="75" t="s">
        <v>88</v>
      </c>
      <c r="M4" s="76" t="s">
        <v>89</v>
      </c>
    </row>
    <row r="5" spans="1:13" x14ac:dyDescent="0.25">
      <c r="A5" s="77" t="s">
        <v>90</v>
      </c>
      <c r="B5" s="78">
        <f>B6+B11+B19+B27+B38</f>
        <v>2481</v>
      </c>
      <c r="C5" s="78">
        <f t="shared" ref="C5:M5" si="0">C6+C11+C19+C27+C38</f>
        <v>144043</v>
      </c>
      <c r="D5" s="78">
        <f t="shared" si="0"/>
        <v>2548</v>
      </c>
      <c r="E5" s="78">
        <f t="shared" si="0"/>
        <v>155481</v>
      </c>
      <c r="F5" s="78">
        <f t="shared" si="0"/>
        <v>2116</v>
      </c>
      <c r="G5" s="78">
        <f t="shared" si="0"/>
        <v>65900</v>
      </c>
      <c r="H5" s="78">
        <f t="shared" si="0"/>
        <v>3968</v>
      </c>
      <c r="I5" s="78">
        <f t="shared" si="0"/>
        <v>250612</v>
      </c>
      <c r="J5" s="78">
        <f t="shared" si="0"/>
        <v>2960</v>
      </c>
      <c r="K5" s="78">
        <f t="shared" si="0"/>
        <v>153370</v>
      </c>
      <c r="L5" s="78">
        <f t="shared" si="0"/>
        <v>2308</v>
      </c>
      <c r="M5" s="78">
        <f t="shared" si="0"/>
        <v>186145</v>
      </c>
    </row>
    <row r="6" spans="1:13" x14ac:dyDescent="0.25">
      <c r="A6" s="79" t="s">
        <v>91</v>
      </c>
      <c r="B6" s="80">
        <f>SUM(B7:B10)</f>
        <v>763</v>
      </c>
      <c r="C6" s="80">
        <f t="shared" ref="C6:M6" si="1">SUM(C7:C10)</f>
        <v>73341</v>
      </c>
      <c r="D6" s="80">
        <f t="shared" si="1"/>
        <v>672</v>
      </c>
      <c r="E6" s="80">
        <f t="shared" si="1"/>
        <v>66115</v>
      </c>
      <c r="F6" s="80">
        <f t="shared" si="1"/>
        <v>232</v>
      </c>
      <c r="G6" s="80">
        <f t="shared" si="1"/>
        <v>12661</v>
      </c>
      <c r="H6" s="80">
        <f t="shared" si="1"/>
        <v>898</v>
      </c>
      <c r="I6" s="80">
        <f t="shared" si="1"/>
        <v>76544</v>
      </c>
      <c r="J6" s="80">
        <f t="shared" si="1"/>
        <v>993</v>
      </c>
      <c r="K6" s="80">
        <f t="shared" si="1"/>
        <v>58558</v>
      </c>
      <c r="L6" s="80">
        <f t="shared" si="1"/>
        <v>696</v>
      </c>
      <c r="M6" s="81">
        <f t="shared" si="1"/>
        <v>64326</v>
      </c>
    </row>
    <row r="7" spans="1:13" x14ac:dyDescent="0.25">
      <c r="A7" s="82" t="s">
        <v>92</v>
      </c>
      <c r="B7" s="83">
        <v>67</v>
      </c>
      <c r="C7" s="83">
        <v>8544</v>
      </c>
      <c r="D7" s="83">
        <v>46</v>
      </c>
      <c r="E7" s="83">
        <v>7764</v>
      </c>
      <c r="F7" s="83">
        <v>23</v>
      </c>
      <c r="G7" s="83">
        <v>5488</v>
      </c>
      <c r="H7" s="83">
        <v>51</v>
      </c>
      <c r="I7" s="83">
        <v>11601</v>
      </c>
      <c r="J7" s="83">
        <v>46</v>
      </c>
      <c r="K7" s="83">
        <v>7342</v>
      </c>
      <c r="L7" s="83">
        <v>26</v>
      </c>
      <c r="M7" s="84">
        <v>9436</v>
      </c>
    </row>
    <row r="8" spans="1:13" x14ac:dyDescent="0.25">
      <c r="A8" s="85" t="s">
        <v>93</v>
      </c>
      <c r="B8" s="83">
        <v>368</v>
      </c>
      <c r="C8" s="83">
        <v>21226</v>
      </c>
      <c r="D8" s="83">
        <v>335</v>
      </c>
      <c r="E8" s="83">
        <v>19510</v>
      </c>
      <c r="F8" s="83">
        <v>102</v>
      </c>
      <c r="G8" s="83">
        <v>4977</v>
      </c>
      <c r="H8" s="83">
        <f>297+28</f>
        <v>325</v>
      </c>
      <c r="I8" s="83">
        <f>11754+5877+2425</f>
        <v>20056</v>
      </c>
      <c r="J8" s="83">
        <f>317+25</f>
        <v>342</v>
      </c>
      <c r="K8" s="83">
        <f>8607+4304+4491</f>
        <v>17402</v>
      </c>
      <c r="L8" s="83">
        <f>312+34</f>
        <v>346</v>
      </c>
      <c r="M8" s="84">
        <f>10678+5338+2067</f>
        <v>18083</v>
      </c>
    </row>
    <row r="9" spans="1:13" x14ac:dyDescent="0.25">
      <c r="A9" s="85" t="s">
        <v>94</v>
      </c>
      <c r="B9" s="83">
        <v>312</v>
      </c>
      <c r="C9" s="83">
        <v>42854</v>
      </c>
      <c r="D9" s="83">
        <v>275</v>
      </c>
      <c r="E9" s="83">
        <v>38124</v>
      </c>
      <c r="F9" s="83">
        <v>57</v>
      </c>
      <c r="G9" s="83">
        <v>1770</v>
      </c>
      <c r="H9" s="83">
        <v>434</v>
      </c>
      <c r="I9" s="83">
        <f>26973+13487+3043</f>
        <v>43503</v>
      </c>
      <c r="J9" s="83">
        <v>486</v>
      </c>
      <c r="K9" s="83">
        <f>19450+9725+3865</f>
        <v>33040</v>
      </c>
      <c r="L9" s="83">
        <v>290</v>
      </c>
      <c r="M9" s="84">
        <f>23318+11659+1278</f>
        <v>36255</v>
      </c>
    </row>
    <row r="10" spans="1:13" x14ac:dyDescent="0.25">
      <c r="A10" s="85" t="s">
        <v>95</v>
      </c>
      <c r="B10" s="83">
        <v>16</v>
      </c>
      <c r="C10" s="83">
        <v>717</v>
      </c>
      <c r="D10" s="83">
        <v>16</v>
      </c>
      <c r="E10" s="83">
        <v>717</v>
      </c>
      <c r="F10" s="83">
        <v>50</v>
      </c>
      <c r="G10" s="83">
        <v>426</v>
      </c>
      <c r="H10" s="83">
        <v>88</v>
      </c>
      <c r="I10" s="83">
        <v>1384</v>
      </c>
      <c r="J10" s="83">
        <v>119</v>
      </c>
      <c r="K10" s="83">
        <v>774</v>
      </c>
      <c r="L10" s="83">
        <v>34</v>
      </c>
      <c r="M10" s="84">
        <v>552</v>
      </c>
    </row>
    <row r="11" spans="1:13" x14ac:dyDescent="0.25">
      <c r="A11" s="79" t="s">
        <v>96</v>
      </c>
      <c r="B11" s="80">
        <f>SUM(B12:B18)</f>
        <v>975</v>
      </c>
      <c r="C11" s="80">
        <f t="shared" ref="C11:M11" si="2">SUM(C12:C18)</f>
        <v>41629</v>
      </c>
      <c r="D11" s="80">
        <f t="shared" si="2"/>
        <v>1203</v>
      </c>
      <c r="E11" s="80">
        <f t="shared" si="2"/>
        <v>61756</v>
      </c>
      <c r="F11" s="80">
        <f t="shared" si="2"/>
        <v>1474</v>
      </c>
      <c r="G11" s="80">
        <f t="shared" si="2"/>
        <v>38948</v>
      </c>
      <c r="H11" s="80">
        <f t="shared" si="2"/>
        <v>2149</v>
      </c>
      <c r="I11" s="80">
        <f t="shared" si="2"/>
        <v>143670</v>
      </c>
      <c r="J11" s="80">
        <f t="shared" si="2"/>
        <v>1138</v>
      </c>
      <c r="K11" s="80">
        <f t="shared" si="2"/>
        <v>72049</v>
      </c>
      <c r="L11" s="80">
        <f t="shared" si="2"/>
        <v>1260</v>
      </c>
      <c r="M11" s="81">
        <f t="shared" si="2"/>
        <v>91287</v>
      </c>
    </row>
    <row r="12" spans="1:13" x14ac:dyDescent="0.25">
      <c r="A12" s="85" t="s">
        <v>97</v>
      </c>
      <c r="B12" s="83">
        <v>466</v>
      </c>
      <c r="C12" s="83">
        <v>12886</v>
      </c>
      <c r="D12" s="83">
        <v>561</v>
      </c>
      <c r="E12" s="83">
        <v>18446</v>
      </c>
      <c r="F12" s="83">
        <v>611</v>
      </c>
      <c r="G12" s="83">
        <v>10573</v>
      </c>
      <c r="H12" s="83">
        <v>654</v>
      </c>
      <c r="I12" s="83">
        <v>19723</v>
      </c>
      <c r="J12" s="83">
        <v>506</v>
      </c>
      <c r="K12" s="83">
        <v>12404</v>
      </c>
      <c r="L12" s="83">
        <v>506</v>
      </c>
      <c r="M12" s="83">
        <v>12404</v>
      </c>
    </row>
    <row r="13" spans="1:13" x14ac:dyDescent="0.25">
      <c r="A13" s="86" t="s">
        <v>98</v>
      </c>
      <c r="B13" s="83">
        <v>1</v>
      </c>
      <c r="C13" s="83">
        <v>5190</v>
      </c>
      <c r="D13" s="83">
        <v>2</v>
      </c>
      <c r="E13" s="83">
        <v>5900</v>
      </c>
      <c r="F13" s="83">
        <v>2</v>
      </c>
      <c r="G13" s="83">
        <v>6170</v>
      </c>
      <c r="H13" s="83">
        <v>1</v>
      </c>
      <c r="I13" s="83">
        <v>7540</v>
      </c>
      <c r="J13" s="83">
        <v>2</v>
      </c>
      <c r="K13" s="83">
        <v>5100</v>
      </c>
      <c r="L13" s="83">
        <v>1</v>
      </c>
      <c r="M13" s="84">
        <v>4042</v>
      </c>
    </row>
    <row r="14" spans="1:13" x14ac:dyDescent="0.25">
      <c r="A14" s="86" t="s">
        <v>99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3" x14ac:dyDescent="0.25">
      <c r="A15" s="86" t="s">
        <v>100</v>
      </c>
      <c r="B15" s="83">
        <v>292</v>
      </c>
      <c r="C15" s="83">
        <v>9301</v>
      </c>
      <c r="D15" s="83">
        <v>329</v>
      </c>
      <c r="E15" s="83">
        <v>10220</v>
      </c>
      <c r="F15" s="83">
        <v>346</v>
      </c>
      <c r="G15" s="83">
        <v>9768</v>
      </c>
      <c r="H15" s="83">
        <v>1147</v>
      </c>
      <c r="I15" s="83">
        <v>33716</v>
      </c>
      <c r="J15" s="83">
        <v>331</v>
      </c>
      <c r="K15" s="87">
        <v>35947</v>
      </c>
      <c r="L15" s="83">
        <v>454</v>
      </c>
      <c r="M15" s="84">
        <v>44738</v>
      </c>
    </row>
    <row r="16" spans="1:13" x14ac:dyDescent="0.25">
      <c r="A16" s="86" t="s">
        <v>101</v>
      </c>
      <c r="B16" s="83">
        <v>45</v>
      </c>
      <c r="C16" s="83">
        <v>6003</v>
      </c>
      <c r="D16" s="83">
        <v>75</v>
      </c>
      <c r="E16" s="83">
        <v>11490</v>
      </c>
      <c r="F16" s="83">
        <v>340</v>
      </c>
      <c r="G16" s="83">
        <v>2439</v>
      </c>
      <c r="H16" s="83">
        <v>51</v>
      </c>
      <c r="I16" s="83">
        <v>47645</v>
      </c>
      <c r="J16" s="83">
        <v>30</v>
      </c>
      <c r="K16" s="83">
        <v>4680</v>
      </c>
      <c r="L16" s="83">
        <v>30</v>
      </c>
      <c r="M16" s="84">
        <v>16150</v>
      </c>
    </row>
    <row r="17" spans="1:13" x14ac:dyDescent="0.25">
      <c r="A17" s="86" t="s">
        <v>102</v>
      </c>
      <c r="B17" s="83">
        <v>1</v>
      </c>
      <c r="C17" s="83">
        <v>1295</v>
      </c>
      <c r="D17" s="83">
        <v>2</v>
      </c>
      <c r="E17" s="83">
        <v>1165</v>
      </c>
      <c r="F17" s="83">
        <v>1</v>
      </c>
      <c r="G17" s="83">
        <v>995</v>
      </c>
      <c r="H17" s="83">
        <v>0</v>
      </c>
      <c r="I17" s="83">
        <v>910</v>
      </c>
      <c r="J17" s="83">
        <v>0</v>
      </c>
      <c r="K17" s="83">
        <v>935</v>
      </c>
      <c r="L17" s="83">
        <v>0</v>
      </c>
      <c r="M17" s="84">
        <v>970</v>
      </c>
    </row>
    <row r="18" spans="1:13" x14ac:dyDescent="0.25">
      <c r="A18" s="86" t="s">
        <v>103</v>
      </c>
      <c r="B18" s="83">
        <v>170</v>
      </c>
      <c r="C18" s="83">
        <v>6954</v>
      </c>
      <c r="D18" s="83">
        <v>234</v>
      </c>
      <c r="E18" s="83">
        <v>14535</v>
      </c>
      <c r="F18" s="83">
        <v>174</v>
      </c>
      <c r="G18" s="83">
        <v>9003</v>
      </c>
      <c r="H18" s="83">
        <v>296</v>
      </c>
      <c r="I18" s="83">
        <v>34136</v>
      </c>
      <c r="J18" s="83">
        <v>269</v>
      </c>
      <c r="K18" s="83">
        <v>12983</v>
      </c>
      <c r="L18" s="83">
        <v>269</v>
      </c>
      <c r="M18" s="83">
        <v>12983</v>
      </c>
    </row>
    <row r="19" spans="1:13" x14ac:dyDescent="0.25">
      <c r="A19" s="79" t="s">
        <v>104</v>
      </c>
      <c r="B19" s="80">
        <f>SUM(B20:B26)</f>
        <v>621</v>
      </c>
      <c r="C19" s="80">
        <f t="shared" ref="C19:M19" si="3">SUM(C20:C26)</f>
        <v>24940</v>
      </c>
      <c r="D19" s="80">
        <f t="shared" si="3"/>
        <v>589</v>
      </c>
      <c r="E19" s="80">
        <f t="shared" si="3"/>
        <v>23872</v>
      </c>
      <c r="F19" s="80">
        <f t="shared" si="3"/>
        <v>283</v>
      </c>
      <c r="G19" s="80">
        <f t="shared" si="3"/>
        <v>11903</v>
      </c>
      <c r="H19" s="80">
        <f t="shared" si="3"/>
        <v>484</v>
      </c>
      <c r="I19" s="80">
        <f t="shared" si="3"/>
        <v>23072</v>
      </c>
      <c r="J19" s="80">
        <f t="shared" si="3"/>
        <v>328</v>
      </c>
      <c r="K19" s="80">
        <f t="shared" si="3"/>
        <v>14780</v>
      </c>
      <c r="L19" s="80">
        <f t="shared" si="3"/>
        <v>180</v>
      </c>
      <c r="M19" s="81">
        <f t="shared" si="3"/>
        <v>22737</v>
      </c>
    </row>
    <row r="20" spans="1:13" x14ac:dyDescent="0.25">
      <c r="A20" s="86" t="s">
        <v>105</v>
      </c>
      <c r="B20" s="83">
        <v>17</v>
      </c>
      <c r="C20" s="83">
        <f>435+316+1278+138+12</f>
        <v>2179</v>
      </c>
      <c r="D20" s="83">
        <v>24</v>
      </c>
      <c r="E20" s="83">
        <f>416+200+525+61</f>
        <v>1202</v>
      </c>
      <c r="F20" s="83">
        <v>32</v>
      </c>
      <c r="G20" s="83">
        <f>412+135+145+14+12</f>
        <v>718</v>
      </c>
      <c r="H20" s="83">
        <v>30</v>
      </c>
      <c r="I20" s="83">
        <f>411+124+277+34+5</f>
        <v>851</v>
      </c>
      <c r="J20" s="83">
        <v>22</v>
      </c>
      <c r="K20" s="83">
        <f>290+216+412+23+8</f>
        <v>949</v>
      </c>
      <c r="L20" s="83">
        <v>7</v>
      </c>
      <c r="M20" s="84">
        <f>283+196+20+5+5</f>
        <v>509</v>
      </c>
    </row>
    <row r="21" spans="1:13" x14ac:dyDescent="0.25">
      <c r="A21" s="86" t="s">
        <v>106</v>
      </c>
      <c r="B21" s="83">
        <v>10</v>
      </c>
      <c r="C21" s="83">
        <v>1350</v>
      </c>
      <c r="D21" s="83">
        <v>1</v>
      </c>
      <c r="E21" s="83">
        <v>800</v>
      </c>
      <c r="F21" s="83">
        <v>5</v>
      </c>
      <c r="G21" s="83">
        <f>700+150</f>
        <v>850</v>
      </c>
      <c r="H21" s="83">
        <v>2</v>
      </c>
      <c r="I21" s="83">
        <f>900+180</f>
        <v>1080</v>
      </c>
      <c r="J21" s="83">
        <v>10</v>
      </c>
      <c r="K21" s="83">
        <f>1100+250</f>
        <v>1350</v>
      </c>
      <c r="L21" s="83">
        <v>7</v>
      </c>
      <c r="M21" s="84">
        <f>1300+300</f>
        <v>1600</v>
      </c>
    </row>
    <row r="22" spans="1:13" x14ac:dyDescent="0.25">
      <c r="A22" s="86" t="s">
        <v>107</v>
      </c>
      <c r="B22" s="83">
        <v>25</v>
      </c>
      <c r="C22" s="83">
        <f>1340+390</f>
        <v>1730</v>
      </c>
      <c r="D22" s="83">
        <v>46</v>
      </c>
      <c r="E22" s="83">
        <f>1835+630</f>
        <v>2465</v>
      </c>
      <c r="F22" s="83">
        <v>46</v>
      </c>
      <c r="G22" s="83">
        <v>652</v>
      </c>
      <c r="H22" s="83">
        <v>26</v>
      </c>
      <c r="I22" s="83">
        <f>2990+840</f>
        <v>3830</v>
      </c>
      <c r="J22" s="83">
        <v>5</v>
      </c>
      <c r="K22" s="83">
        <f>1180+430</f>
        <v>1610</v>
      </c>
      <c r="L22" s="83">
        <v>1</v>
      </c>
      <c r="M22" s="84">
        <f>1320+530</f>
        <v>1850</v>
      </c>
    </row>
    <row r="23" spans="1:13" x14ac:dyDescent="0.25">
      <c r="A23" s="86" t="s">
        <v>108</v>
      </c>
      <c r="B23" s="83">
        <v>96</v>
      </c>
      <c r="C23" s="83">
        <v>4900</v>
      </c>
      <c r="D23" s="83">
        <v>145</v>
      </c>
      <c r="E23" s="83">
        <v>5945</v>
      </c>
      <c r="F23" s="83">
        <v>158</v>
      </c>
      <c r="G23" s="83">
        <v>550</v>
      </c>
      <c r="H23" s="83">
        <v>106</v>
      </c>
      <c r="I23" s="83">
        <v>1500</v>
      </c>
      <c r="J23" s="83">
        <v>47</v>
      </c>
      <c r="K23" s="83">
        <v>1070</v>
      </c>
      <c r="L23" s="83">
        <v>17</v>
      </c>
      <c r="M23" s="84">
        <v>9800</v>
      </c>
    </row>
    <row r="24" spans="1:13" x14ac:dyDescent="0.25">
      <c r="A24" s="86" t="s">
        <v>109</v>
      </c>
      <c r="B24" s="83">
        <v>7</v>
      </c>
      <c r="C24" s="83">
        <f>1905+2315+403+31</f>
        <v>4654</v>
      </c>
      <c r="D24" s="83">
        <v>6</v>
      </c>
      <c r="E24" s="83">
        <f>1727+2726+372+19</f>
        <v>4844</v>
      </c>
      <c r="F24" s="83">
        <f>8+6</f>
        <v>14</v>
      </c>
      <c r="G24" s="83">
        <f>2719+3304+319+21</f>
        <v>6363</v>
      </c>
      <c r="H24" s="83">
        <v>0</v>
      </c>
      <c r="I24" s="83">
        <f>3061+6124+294+17</f>
        <v>9496</v>
      </c>
      <c r="J24" s="83">
        <v>4</v>
      </c>
      <c r="K24" s="83">
        <f>1380+2475+360+22</f>
        <v>4237</v>
      </c>
      <c r="L24" s="83">
        <v>0</v>
      </c>
      <c r="M24" s="84">
        <f>2393+2982+277+14</f>
        <v>5666</v>
      </c>
    </row>
    <row r="25" spans="1:13" x14ac:dyDescent="0.25">
      <c r="A25" s="86" t="s">
        <v>110</v>
      </c>
      <c r="B25" s="83">
        <v>48</v>
      </c>
      <c r="C25" s="83">
        <v>4717</v>
      </c>
      <c r="D25" s="83">
        <v>39</v>
      </c>
      <c r="E25" s="83">
        <v>3580</v>
      </c>
      <c r="F25" s="83">
        <v>28</v>
      </c>
      <c r="G25" s="83">
        <v>2770</v>
      </c>
      <c r="H25" s="83">
        <v>34</v>
      </c>
      <c r="I25" s="83">
        <v>2672</v>
      </c>
      <c r="J25" s="83">
        <v>40</v>
      </c>
      <c r="K25" s="83">
        <v>2680</v>
      </c>
      <c r="L25" s="83">
        <v>32</v>
      </c>
      <c r="M25" s="84">
        <v>1526</v>
      </c>
    </row>
    <row r="26" spans="1:13" x14ac:dyDescent="0.25">
      <c r="A26" s="86" t="s">
        <v>111</v>
      </c>
      <c r="B26" s="83">
        <v>418</v>
      </c>
      <c r="C26" s="83">
        <v>5410</v>
      </c>
      <c r="D26" s="83">
        <v>328</v>
      </c>
      <c r="E26" s="83">
        <v>5036</v>
      </c>
      <c r="F26" s="165" t="s">
        <v>112</v>
      </c>
      <c r="G26" s="166"/>
      <c r="H26" s="83">
        <v>286</v>
      </c>
      <c r="I26" s="83">
        <v>3643</v>
      </c>
      <c r="J26" s="83">
        <v>200</v>
      </c>
      <c r="K26" s="83">
        <v>2884</v>
      </c>
      <c r="L26" s="83">
        <v>116</v>
      </c>
      <c r="M26" s="84">
        <v>1786</v>
      </c>
    </row>
    <row r="27" spans="1:13" x14ac:dyDescent="0.25">
      <c r="A27" s="79" t="s">
        <v>113</v>
      </c>
      <c r="B27" s="80">
        <f>SUM(B28:B37)</f>
        <v>121</v>
      </c>
      <c r="C27" s="80">
        <f t="shared" ref="C27:M27" si="4">SUM(C28:C37)</f>
        <v>3950</v>
      </c>
      <c r="D27" s="80">
        <f t="shared" si="4"/>
        <v>82</v>
      </c>
      <c r="E27" s="80">
        <f t="shared" si="4"/>
        <v>3682</v>
      </c>
      <c r="F27" s="80">
        <f t="shared" si="4"/>
        <v>126</v>
      </c>
      <c r="G27" s="80">
        <f t="shared" si="4"/>
        <v>2360</v>
      </c>
      <c r="H27" s="80">
        <f t="shared" si="4"/>
        <v>437</v>
      </c>
      <c r="I27" s="80">
        <f t="shared" si="4"/>
        <v>7263</v>
      </c>
      <c r="J27" s="80">
        <f t="shared" si="4"/>
        <v>501</v>
      </c>
      <c r="K27" s="80">
        <f t="shared" si="4"/>
        <v>7788</v>
      </c>
      <c r="L27" s="80">
        <f t="shared" si="4"/>
        <v>172</v>
      </c>
      <c r="M27" s="80">
        <f t="shared" si="4"/>
        <v>7624</v>
      </c>
    </row>
    <row r="28" spans="1:13" x14ac:dyDescent="0.25">
      <c r="A28" s="86" t="s">
        <v>114</v>
      </c>
      <c r="B28" s="83">
        <v>38</v>
      </c>
      <c r="C28" s="83">
        <f>275+655+200</f>
        <v>1130</v>
      </c>
      <c r="D28" s="88">
        <v>14</v>
      </c>
      <c r="E28" s="88">
        <f>332+500+204</f>
        <v>1036</v>
      </c>
      <c r="F28" s="88">
        <v>48</v>
      </c>
      <c r="G28" s="88">
        <f>182+300+182</f>
        <v>664</v>
      </c>
      <c r="H28" s="88">
        <v>156</v>
      </c>
      <c r="I28" s="88">
        <f>164+1141+489</f>
        <v>1794</v>
      </c>
      <c r="J28" s="88">
        <v>160</v>
      </c>
      <c r="K28" s="88">
        <f>875+600+355</f>
        <v>1830</v>
      </c>
      <c r="L28" s="88">
        <v>60</v>
      </c>
      <c r="M28" s="88">
        <f>285+719+307</f>
        <v>1311</v>
      </c>
    </row>
    <row r="29" spans="1:13" x14ac:dyDescent="0.25">
      <c r="A29" s="89" t="s">
        <v>115</v>
      </c>
      <c r="B29" s="83">
        <v>71</v>
      </c>
      <c r="C29" s="83">
        <f>253+413+272</f>
        <v>938</v>
      </c>
      <c r="D29" s="83">
        <v>20</v>
      </c>
      <c r="E29" s="83">
        <f>290+375+213</f>
        <v>878</v>
      </c>
      <c r="F29" s="83">
        <v>24</v>
      </c>
      <c r="G29" s="83">
        <f>155+252+103</f>
        <v>510</v>
      </c>
      <c r="H29" s="83">
        <v>135</v>
      </c>
      <c r="I29" s="83">
        <f>290+518+134</f>
        <v>942</v>
      </c>
      <c r="J29" s="83">
        <v>100</v>
      </c>
      <c r="K29" s="83">
        <f>347+369+154</f>
        <v>870</v>
      </c>
      <c r="L29" s="83">
        <v>23</v>
      </c>
      <c r="M29" s="83">
        <f>277+491+258</f>
        <v>1026</v>
      </c>
    </row>
    <row r="30" spans="1:13" x14ac:dyDescent="0.25">
      <c r="A30" s="85" t="s">
        <v>116</v>
      </c>
      <c r="B30" s="88">
        <v>0</v>
      </c>
      <c r="C30" s="88">
        <f>100+230+170</f>
        <v>500</v>
      </c>
      <c r="D30" s="88">
        <v>0</v>
      </c>
      <c r="E30" s="88">
        <f>60+90+70</f>
        <v>220</v>
      </c>
      <c r="F30" s="88">
        <v>8</v>
      </c>
      <c r="G30" s="88">
        <f>70+200+70</f>
        <v>340</v>
      </c>
      <c r="H30" s="88">
        <v>0</v>
      </c>
      <c r="I30" s="88">
        <v>730</v>
      </c>
      <c r="J30" s="88">
        <v>5</v>
      </c>
      <c r="K30" s="88">
        <f>500+350+150</f>
        <v>1000</v>
      </c>
      <c r="L30" s="88">
        <v>0</v>
      </c>
      <c r="M30" s="88">
        <f>300+120+39</f>
        <v>459</v>
      </c>
    </row>
    <row r="31" spans="1:13" x14ac:dyDescent="0.25">
      <c r="A31" s="85" t="s">
        <v>117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  <row r="32" spans="1:13" x14ac:dyDescent="0.25">
      <c r="A32" s="85" t="s">
        <v>118</v>
      </c>
      <c r="B32" s="83">
        <v>0</v>
      </c>
      <c r="C32" s="83">
        <f>68+36+16</f>
        <v>120</v>
      </c>
      <c r="D32" s="83">
        <v>0</v>
      </c>
      <c r="E32" s="83">
        <f>68+36+16</f>
        <v>120</v>
      </c>
      <c r="F32" s="83">
        <v>9</v>
      </c>
      <c r="G32" s="83">
        <f>55+30+10</f>
        <v>95</v>
      </c>
      <c r="H32" s="83">
        <v>9</v>
      </c>
      <c r="I32" s="83">
        <f>304+141+28</f>
        <v>473</v>
      </c>
      <c r="J32" s="83">
        <v>20</v>
      </c>
      <c r="K32" s="83">
        <f>216+423+100</f>
        <v>739</v>
      </c>
      <c r="L32" s="83">
        <v>11</v>
      </c>
      <c r="M32" s="83">
        <f>244+268+100</f>
        <v>612</v>
      </c>
    </row>
    <row r="33" spans="1:13" x14ac:dyDescent="0.25">
      <c r="A33" s="85" t="s">
        <v>119</v>
      </c>
      <c r="B33" s="83">
        <v>0</v>
      </c>
      <c r="C33" s="83">
        <f>166+300+124</f>
        <v>590</v>
      </c>
      <c r="D33" s="83">
        <v>0</v>
      </c>
      <c r="E33" s="83">
        <f>313+297+200</f>
        <v>810</v>
      </c>
      <c r="F33" s="83">
        <v>0</v>
      </c>
      <c r="G33" s="83">
        <f>218+190+28</f>
        <v>436</v>
      </c>
      <c r="H33" s="83">
        <v>0</v>
      </c>
      <c r="I33" s="83">
        <f>803+800+458</f>
        <v>2061</v>
      </c>
      <c r="J33" s="83">
        <v>2</v>
      </c>
      <c r="K33" s="83">
        <f>148+204+100</f>
        <v>452</v>
      </c>
      <c r="L33" s="83">
        <v>0</v>
      </c>
      <c r="M33" s="83">
        <f>127+300+165</f>
        <v>592</v>
      </c>
    </row>
    <row r="34" spans="1:13" x14ac:dyDescent="0.25">
      <c r="A34" s="85" t="s">
        <v>120</v>
      </c>
      <c r="B34" s="83">
        <v>0</v>
      </c>
      <c r="C34" s="83">
        <f>73+45+5</f>
        <v>123</v>
      </c>
      <c r="D34" s="83">
        <v>0</v>
      </c>
      <c r="E34" s="83">
        <f>40+40+4</f>
        <v>84</v>
      </c>
      <c r="F34" s="83">
        <v>0</v>
      </c>
      <c r="G34" s="83">
        <f>54+28</f>
        <v>82</v>
      </c>
      <c r="H34" s="83">
        <v>0</v>
      </c>
      <c r="I34" s="83">
        <f>82+44</f>
        <v>126</v>
      </c>
      <c r="J34" s="83">
        <v>0</v>
      </c>
      <c r="K34" s="83">
        <f>77+27</f>
        <v>104</v>
      </c>
      <c r="L34" s="83">
        <v>0</v>
      </c>
      <c r="M34" s="83">
        <f>25+19</f>
        <v>44</v>
      </c>
    </row>
    <row r="35" spans="1:13" x14ac:dyDescent="0.25">
      <c r="A35" s="85" t="s">
        <v>121</v>
      </c>
      <c r="B35" s="83">
        <v>5</v>
      </c>
      <c r="C35" s="83">
        <f>125+27+61</f>
        <v>213</v>
      </c>
      <c r="D35" s="83">
        <v>39</v>
      </c>
      <c r="E35" s="83">
        <f>130+52+77</f>
        <v>259</v>
      </c>
      <c r="F35" s="83">
        <v>15</v>
      </c>
      <c r="G35" s="83">
        <f>98+27+38</f>
        <v>163</v>
      </c>
      <c r="H35" s="83">
        <v>76</v>
      </c>
      <c r="I35" s="83">
        <f>130+52+32</f>
        <v>214</v>
      </c>
      <c r="J35" s="83">
        <v>45</v>
      </c>
      <c r="K35" s="83">
        <f>40+45+32</f>
        <v>117</v>
      </c>
      <c r="L35" s="83">
        <v>8</v>
      </c>
      <c r="M35" s="83">
        <f>50+14+13</f>
        <v>77</v>
      </c>
    </row>
    <row r="36" spans="1:13" x14ac:dyDescent="0.25">
      <c r="A36" s="85" t="s">
        <v>122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</row>
    <row r="37" spans="1:13" x14ac:dyDescent="0.25">
      <c r="A37" s="85" t="s">
        <v>123</v>
      </c>
      <c r="B37" s="83">
        <v>7</v>
      </c>
      <c r="C37" s="83">
        <f>73+200+63</f>
        <v>336</v>
      </c>
      <c r="D37" s="83">
        <v>9</v>
      </c>
      <c r="E37" s="83">
        <f>51+140+84</f>
        <v>275</v>
      </c>
      <c r="F37" s="83">
        <v>22</v>
      </c>
      <c r="G37" s="83">
        <f>12+30+28</f>
        <v>70</v>
      </c>
      <c r="H37" s="83">
        <v>61</v>
      </c>
      <c r="I37" s="83">
        <f>366+390+167</f>
        <v>923</v>
      </c>
      <c r="J37" s="83">
        <v>169</v>
      </c>
      <c r="K37" s="83">
        <f>153+1500+1023</f>
        <v>2676</v>
      </c>
      <c r="L37" s="83">
        <v>70</v>
      </c>
      <c r="M37" s="83">
        <f>1046+1300+1157</f>
        <v>3503</v>
      </c>
    </row>
    <row r="38" spans="1:13" x14ac:dyDescent="0.25">
      <c r="A38" s="79" t="s">
        <v>124</v>
      </c>
      <c r="B38" s="80">
        <f>SUM(B39:B42)</f>
        <v>1</v>
      </c>
      <c r="C38" s="80">
        <f t="shared" ref="C38:M38" si="5">SUM(C39:C42)</f>
        <v>183</v>
      </c>
      <c r="D38" s="80">
        <f t="shared" si="5"/>
        <v>2</v>
      </c>
      <c r="E38" s="80">
        <f t="shared" si="5"/>
        <v>56</v>
      </c>
      <c r="F38" s="80">
        <f t="shared" si="5"/>
        <v>1</v>
      </c>
      <c r="G38" s="80">
        <f t="shared" si="5"/>
        <v>28</v>
      </c>
      <c r="H38" s="80">
        <f t="shared" si="5"/>
        <v>0</v>
      </c>
      <c r="I38" s="80">
        <f t="shared" si="5"/>
        <v>63</v>
      </c>
      <c r="J38" s="80">
        <f t="shared" si="5"/>
        <v>0</v>
      </c>
      <c r="K38" s="80">
        <f t="shared" si="5"/>
        <v>195</v>
      </c>
      <c r="L38" s="80">
        <f t="shared" si="5"/>
        <v>0</v>
      </c>
      <c r="M38" s="80">
        <f t="shared" si="5"/>
        <v>171</v>
      </c>
    </row>
    <row r="39" spans="1:13" x14ac:dyDescent="0.25">
      <c r="A39" s="85" t="s">
        <v>125</v>
      </c>
      <c r="B39" s="88">
        <v>0</v>
      </c>
      <c r="C39" s="88">
        <v>149</v>
      </c>
      <c r="D39" s="88">
        <v>2</v>
      </c>
      <c r="E39" s="88">
        <v>20</v>
      </c>
      <c r="F39" s="88">
        <v>0</v>
      </c>
      <c r="G39" s="88">
        <v>7</v>
      </c>
      <c r="H39" s="88">
        <v>0</v>
      </c>
      <c r="I39" s="88">
        <v>30</v>
      </c>
      <c r="J39" s="88">
        <v>0</v>
      </c>
      <c r="K39" s="88">
        <v>149</v>
      </c>
      <c r="L39" s="88">
        <v>0</v>
      </c>
      <c r="M39" s="88">
        <v>146</v>
      </c>
    </row>
    <row r="40" spans="1:13" x14ac:dyDescent="0.25">
      <c r="A40" s="85" t="s">
        <v>126</v>
      </c>
      <c r="B40" s="83">
        <v>1</v>
      </c>
      <c r="C40" s="83">
        <v>23</v>
      </c>
      <c r="D40" s="83">
        <v>0</v>
      </c>
      <c r="E40" s="83">
        <v>23</v>
      </c>
      <c r="F40" s="83">
        <v>1</v>
      </c>
      <c r="G40" s="83">
        <v>13</v>
      </c>
      <c r="H40" s="83">
        <v>0</v>
      </c>
      <c r="I40" s="83">
        <v>22</v>
      </c>
      <c r="J40" s="83">
        <v>0</v>
      </c>
      <c r="K40" s="83">
        <v>31</v>
      </c>
      <c r="L40" s="83">
        <v>0</v>
      </c>
      <c r="M40" s="84">
        <v>7</v>
      </c>
    </row>
    <row r="41" spans="1:13" x14ac:dyDescent="0.25">
      <c r="A41" s="85" t="s">
        <v>127</v>
      </c>
      <c r="B41" s="83">
        <v>0</v>
      </c>
      <c r="C41" s="83">
        <v>11</v>
      </c>
      <c r="D41" s="83">
        <v>0</v>
      </c>
      <c r="E41" s="83">
        <v>13</v>
      </c>
      <c r="F41" s="83">
        <v>0</v>
      </c>
      <c r="G41" s="83">
        <v>8</v>
      </c>
      <c r="H41" s="83">
        <v>0</v>
      </c>
      <c r="I41" s="83">
        <v>11</v>
      </c>
      <c r="J41" s="83">
        <v>0</v>
      </c>
      <c r="K41" s="83">
        <v>15</v>
      </c>
      <c r="L41" s="83">
        <v>0</v>
      </c>
      <c r="M41" s="84">
        <v>18</v>
      </c>
    </row>
    <row r="42" spans="1:13" ht="16.5" thickBot="1" x14ac:dyDescent="0.3">
      <c r="A42" s="91" t="s">
        <v>128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3" t="s">
        <v>129</v>
      </c>
    </row>
    <row r="43" spans="1:13" x14ac:dyDescent="0.25">
      <c r="A43" t="s">
        <v>191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</row>
    <row r="44" spans="1:13" x14ac:dyDescent="0.25"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</row>
    <row r="45" spans="1:13" x14ac:dyDescent="0.25"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</row>
    <row r="46" spans="1:13" ht="15.75" thickBot="1" x14ac:dyDescent="0.3"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</row>
    <row r="47" spans="1:13" x14ac:dyDescent="0.25">
      <c r="A47" s="154" t="s">
        <v>85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6"/>
    </row>
    <row r="48" spans="1:13" ht="15.75" thickBot="1" x14ac:dyDescent="0.3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9"/>
    </row>
    <row r="49" spans="1:13" x14ac:dyDescent="0.25">
      <c r="A49" s="244" t="s">
        <v>86</v>
      </c>
      <c r="B49" s="245" t="s">
        <v>43</v>
      </c>
      <c r="C49" s="245"/>
      <c r="D49" s="245" t="s">
        <v>192</v>
      </c>
      <c r="E49" s="245"/>
      <c r="F49" s="245" t="s">
        <v>45</v>
      </c>
      <c r="G49" s="245"/>
      <c r="H49" s="245" t="s">
        <v>46</v>
      </c>
      <c r="I49" s="245"/>
      <c r="J49" s="245" t="s">
        <v>47</v>
      </c>
      <c r="K49" s="245"/>
      <c r="L49" s="245" t="s">
        <v>48</v>
      </c>
      <c r="M49" s="246"/>
    </row>
    <row r="50" spans="1:13" x14ac:dyDescent="0.25">
      <c r="A50" s="247"/>
      <c r="B50" s="248" t="s">
        <v>88</v>
      </c>
      <c r="C50" s="249" t="s">
        <v>89</v>
      </c>
      <c r="D50" s="248" t="s">
        <v>88</v>
      </c>
      <c r="E50" s="249" t="s">
        <v>89</v>
      </c>
      <c r="F50" s="248" t="s">
        <v>88</v>
      </c>
      <c r="G50" s="249" t="s">
        <v>89</v>
      </c>
      <c r="H50" s="248" t="s">
        <v>88</v>
      </c>
      <c r="I50" s="249" t="s">
        <v>89</v>
      </c>
      <c r="J50" s="248" t="s">
        <v>88</v>
      </c>
      <c r="K50" s="249" t="s">
        <v>89</v>
      </c>
      <c r="L50" s="248" t="s">
        <v>88</v>
      </c>
      <c r="M50" s="250" t="s">
        <v>89</v>
      </c>
    </row>
    <row r="51" spans="1:13" x14ac:dyDescent="0.25">
      <c r="A51" s="77" t="s">
        <v>90</v>
      </c>
      <c r="B51" s="78">
        <f>B52+B57+B65+B73+B84</f>
        <v>2076</v>
      </c>
      <c r="C51" s="78">
        <f t="shared" ref="C51:M51" si="6">C52+C57+C65+C73+C84</f>
        <v>168537</v>
      </c>
      <c r="D51" s="78">
        <f t="shared" si="6"/>
        <v>2579</v>
      </c>
      <c r="E51" s="78">
        <f t="shared" si="6"/>
        <v>204909</v>
      </c>
      <c r="F51" s="78">
        <f t="shared" si="6"/>
        <v>4690</v>
      </c>
      <c r="G51" s="78">
        <f t="shared" si="6"/>
        <v>124722</v>
      </c>
      <c r="H51" s="78">
        <f t="shared" si="6"/>
        <v>5140</v>
      </c>
      <c r="I51" s="78">
        <f t="shared" si="6"/>
        <v>172332</v>
      </c>
      <c r="J51" s="78">
        <f t="shared" si="6"/>
        <v>4281</v>
      </c>
      <c r="K51" s="78">
        <f t="shared" si="6"/>
        <v>199362</v>
      </c>
      <c r="L51" s="78">
        <f t="shared" si="6"/>
        <v>2298</v>
      </c>
      <c r="M51" s="78">
        <f t="shared" si="6"/>
        <v>198760</v>
      </c>
    </row>
    <row r="52" spans="1:13" x14ac:dyDescent="0.25">
      <c r="A52" s="79" t="s">
        <v>91</v>
      </c>
      <c r="B52" s="80">
        <f>SUM(B53:B56)</f>
        <v>771</v>
      </c>
      <c r="C52" s="80">
        <f t="shared" ref="C52:M52" si="7">SUM(C53:C56)</f>
        <v>65367</v>
      </c>
      <c r="D52" s="80">
        <f t="shared" si="7"/>
        <v>1024</v>
      </c>
      <c r="E52" s="80">
        <f t="shared" si="7"/>
        <v>89528</v>
      </c>
      <c r="F52" s="80">
        <f t="shared" si="7"/>
        <v>1163</v>
      </c>
      <c r="G52" s="80">
        <f t="shared" si="7"/>
        <v>50440</v>
      </c>
      <c r="H52" s="80">
        <f t="shared" si="7"/>
        <v>1296</v>
      </c>
      <c r="I52" s="80">
        <f t="shared" si="7"/>
        <v>75017</v>
      </c>
      <c r="J52" s="80">
        <f t="shared" si="7"/>
        <v>1281</v>
      </c>
      <c r="K52" s="80">
        <f t="shared" si="7"/>
        <v>90269</v>
      </c>
      <c r="L52" s="80">
        <f t="shared" si="7"/>
        <v>629</v>
      </c>
      <c r="M52" s="81">
        <f t="shared" si="7"/>
        <v>91924</v>
      </c>
    </row>
    <row r="53" spans="1:13" x14ac:dyDescent="0.25">
      <c r="A53" s="251" t="s">
        <v>92</v>
      </c>
      <c r="B53" s="252">
        <v>46</v>
      </c>
      <c r="C53" s="252">
        <v>14260</v>
      </c>
      <c r="D53" s="252">
        <v>71</v>
      </c>
      <c r="E53" s="252">
        <v>18286</v>
      </c>
      <c r="F53" s="252">
        <v>75</v>
      </c>
      <c r="G53" s="252">
        <v>6521</v>
      </c>
      <c r="H53" s="252">
        <v>66</v>
      </c>
      <c r="I53" s="252">
        <v>9868</v>
      </c>
      <c r="J53" s="252">
        <v>63</v>
      </c>
      <c r="K53" s="252">
        <v>20142</v>
      </c>
      <c r="L53" s="252">
        <v>31</v>
      </c>
      <c r="M53" s="253">
        <v>17192</v>
      </c>
    </row>
    <row r="54" spans="1:13" x14ac:dyDescent="0.25">
      <c r="A54" s="254" t="s">
        <v>93</v>
      </c>
      <c r="B54" s="252">
        <f>337+116</f>
        <v>453</v>
      </c>
      <c r="C54" s="252">
        <f>14930+7465+1404</f>
        <v>23799</v>
      </c>
      <c r="D54" s="252">
        <f>529+18</f>
        <v>547</v>
      </c>
      <c r="E54" s="252">
        <f>15691+7845+2018</f>
        <v>25554</v>
      </c>
      <c r="F54" s="252">
        <f>595+48</f>
        <v>643</v>
      </c>
      <c r="G54" s="252">
        <f>6942+3471+2939</f>
        <v>13352</v>
      </c>
      <c r="H54" s="252">
        <f>670+17</f>
        <v>687</v>
      </c>
      <c r="I54" s="252">
        <f>9290+4645+14177</f>
        <v>28112</v>
      </c>
      <c r="J54" s="252">
        <f>460+135</f>
        <v>595</v>
      </c>
      <c r="K54" s="252">
        <f>12615+6308+12713</f>
        <v>31636</v>
      </c>
      <c r="L54" s="252">
        <f>205+38</f>
        <v>243</v>
      </c>
      <c r="M54" s="253">
        <f>12287+6144+11322</f>
        <v>29753</v>
      </c>
    </row>
    <row r="55" spans="1:13" x14ac:dyDescent="0.25">
      <c r="A55" s="254" t="s">
        <v>94</v>
      </c>
      <c r="B55" s="252">
        <v>247</v>
      </c>
      <c r="C55" s="252">
        <f>17676+8838+555</f>
        <v>27069</v>
      </c>
      <c r="D55" s="252">
        <v>367</v>
      </c>
      <c r="E55" s="252">
        <f>29110+14554+1673</f>
        <v>45337</v>
      </c>
      <c r="F55" s="252">
        <v>386</v>
      </c>
      <c r="G55" s="252">
        <f>17677+8838+3640</f>
        <v>30155</v>
      </c>
      <c r="H55" s="252">
        <v>522</v>
      </c>
      <c r="I55" s="252">
        <f>16805+8403+11467</f>
        <v>36675</v>
      </c>
      <c r="J55" s="252">
        <v>561</v>
      </c>
      <c r="K55" s="252">
        <f>17636+8818+11648</f>
        <v>38102</v>
      </c>
      <c r="L55" s="252">
        <v>299</v>
      </c>
      <c r="M55" s="253">
        <f>20817+10409+13323</f>
        <v>44549</v>
      </c>
    </row>
    <row r="56" spans="1:13" x14ac:dyDescent="0.25">
      <c r="A56" s="254" t="s">
        <v>95</v>
      </c>
      <c r="B56" s="252">
        <v>25</v>
      </c>
      <c r="C56" s="252">
        <v>239</v>
      </c>
      <c r="D56" s="252">
        <v>39</v>
      </c>
      <c r="E56" s="252">
        <v>351</v>
      </c>
      <c r="F56" s="252">
        <v>59</v>
      </c>
      <c r="G56" s="252">
        <v>412</v>
      </c>
      <c r="H56" s="252">
        <v>21</v>
      </c>
      <c r="I56" s="252">
        <v>362</v>
      </c>
      <c r="J56" s="252">
        <v>62</v>
      </c>
      <c r="K56" s="252">
        <v>389</v>
      </c>
      <c r="L56" s="252">
        <v>56</v>
      </c>
      <c r="M56" s="253">
        <v>430</v>
      </c>
    </row>
    <row r="57" spans="1:13" x14ac:dyDescent="0.25">
      <c r="A57" s="79" t="s">
        <v>96</v>
      </c>
      <c r="B57" s="80">
        <f t="shared" ref="B57:M57" si="8">SUM(B58:B64)</f>
        <v>902</v>
      </c>
      <c r="C57" s="80">
        <f t="shared" si="8"/>
        <v>76080</v>
      </c>
      <c r="D57" s="80">
        <f t="shared" si="8"/>
        <v>978</v>
      </c>
      <c r="E57" s="80">
        <f t="shared" si="8"/>
        <v>69393</v>
      </c>
      <c r="F57" s="80">
        <f t="shared" si="8"/>
        <v>1435</v>
      </c>
      <c r="G57" s="80">
        <f t="shared" si="8"/>
        <v>50614</v>
      </c>
      <c r="H57" s="80">
        <f t="shared" si="8"/>
        <v>2904</v>
      </c>
      <c r="I57" s="80">
        <f t="shared" si="8"/>
        <v>68851</v>
      </c>
      <c r="J57" s="80">
        <f t="shared" si="8"/>
        <v>2091</v>
      </c>
      <c r="K57" s="80">
        <f t="shared" si="8"/>
        <v>75051</v>
      </c>
      <c r="L57" s="80">
        <f t="shared" si="8"/>
        <v>1092</v>
      </c>
      <c r="M57" s="81">
        <f t="shared" si="8"/>
        <v>69951</v>
      </c>
    </row>
    <row r="58" spans="1:13" x14ac:dyDescent="0.25">
      <c r="A58" s="254" t="s">
        <v>97</v>
      </c>
      <c r="B58" s="252">
        <v>302</v>
      </c>
      <c r="C58" s="252">
        <v>15421</v>
      </c>
      <c r="D58" s="252">
        <v>370</v>
      </c>
      <c r="E58" s="252">
        <v>16531</v>
      </c>
      <c r="F58" s="252">
        <v>649</v>
      </c>
      <c r="G58" s="252">
        <v>13844</v>
      </c>
      <c r="H58" s="252">
        <v>1061</v>
      </c>
      <c r="I58" s="252">
        <v>21168</v>
      </c>
      <c r="J58" s="252">
        <v>423</v>
      </c>
      <c r="K58" s="252">
        <v>10105</v>
      </c>
      <c r="L58" s="252">
        <v>376</v>
      </c>
      <c r="M58" s="253">
        <v>21619</v>
      </c>
    </row>
    <row r="59" spans="1:13" x14ac:dyDescent="0.25">
      <c r="A59" s="89" t="s">
        <v>98</v>
      </c>
      <c r="B59" s="252">
        <v>3</v>
      </c>
      <c r="C59" s="252">
        <v>4120</v>
      </c>
      <c r="D59" s="252">
        <v>5</v>
      </c>
      <c r="E59" s="252">
        <v>5625</v>
      </c>
      <c r="F59" s="252">
        <v>2</v>
      </c>
      <c r="G59" s="252">
        <v>3620</v>
      </c>
      <c r="H59" s="252">
        <v>1</v>
      </c>
      <c r="I59" s="252">
        <v>5480</v>
      </c>
      <c r="J59" s="252">
        <v>6</v>
      </c>
      <c r="K59" s="252">
        <v>25280</v>
      </c>
      <c r="L59" s="252">
        <v>2</v>
      </c>
      <c r="M59" s="253">
        <v>6310</v>
      </c>
    </row>
    <row r="60" spans="1:13" x14ac:dyDescent="0.25">
      <c r="A60" s="89" t="s">
        <v>100</v>
      </c>
      <c r="B60" s="252">
        <v>313</v>
      </c>
      <c r="C60" s="252">
        <v>34367</v>
      </c>
      <c r="D60" s="252">
        <v>460</v>
      </c>
      <c r="E60" s="252">
        <v>19504</v>
      </c>
      <c r="F60" s="252">
        <v>516</v>
      </c>
      <c r="G60" s="252">
        <v>14142</v>
      </c>
      <c r="H60" s="252">
        <v>1140</v>
      </c>
      <c r="I60" s="252">
        <v>14081</v>
      </c>
      <c r="J60" s="252">
        <v>1241</v>
      </c>
      <c r="K60" s="252">
        <v>12347</v>
      </c>
      <c r="L60" s="252">
        <v>441</v>
      </c>
      <c r="M60" s="253">
        <v>12573</v>
      </c>
    </row>
    <row r="61" spans="1:13" x14ac:dyDescent="0.25">
      <c r="A61" s="89" t="s">
        <v>99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5"/>
    </row>
    <row r="62" spans="1:13" x14ac:dyDescent="0.25">
      <c r="A62" s="89" t="s">
        <v>101</v>
      </c>
      <c r="B62" s="252">
        <v>15</v>
      </c>
      <c r="C62" s="252">
        <v>8394</v>
      </c>
      <c r="D62" s="252">
        <v>32</v>
      </c>
      <c r="E62" s="252">
        <v>7790</v>
      </c>
      <c r="F62" s="252">
        <v>52</v>
      </c>
      <c r="G62" s="252">
        <v>7177</v>
      </c>
      <c r="H62" s="255">
        <v>254</v>
      </c>
      <c r="I62" s="255">
        <v>7868</v>
      </c>
      <c r="J62" s="255">
        <v>169</v>
      </c>
      <c r="K62" s="255">
        <v>6644</v>
      </c>
      <c r="L62" s="252">
        <v>115</v>
      </c>
      <c r="M62" s="253">
        <v>7836</v>
      </c>
    </row>
    <row r="63" spans="1:13" x14ac:dyDescent="0.25">
      <c r="A63" s="89" t="s">
        <v>102</v>
      </c>
      <c r="B63" s="252">
        <v>0</v>
      </c>
      <c r="C63" s="252">
        <v>795</v>
      </c>
      <c r="D63" s="252">
        <v>0</v>
      </c>
      <c r="E63" s="252">
        <v>2050</v>
      </c>
      <c r="F63" s="256">
        <v>1</v>
      </c>
      <c r="G63" s="257">
        <v>1225</v>
      </c>
      <c r="H63" s="252">
        <v>2</v>
      </c>
      <c r="I63" s="252">
        <v>2075</v>
      </c>
      <c r="J63" s="255">
        <v>0</v>
      </c>
      <c r="K63" s="255">
        <v>1490</v>
      </c>
      <c r="L63" s="252">
        <v>3</v>
      </c>
      <c r="M63" s="253">
        <v>1275</v>
      </c>
    </row>
    <row r="64" spans="1:13" x14ac:dyDescent="0.25">
      <c r="A64" s="89" t="s">
        <v>103</v>
      </c>
      <c r="B64" s="94">
        <v>269</v>
      </c>
      <c r="C64" s="94">
        <v>12983</v>
      </c>
      <c r="D64" s="252">
        <v>111</v>
      </c>
      <c r="E64" s="252">
        <v>17893</v>
      </c>
      <c r="F64" s="252">
        <v>215</v>
      </c>
      <c r="G64" s="252">
        <v>10606</v>
      </c>
      <c r="H64" s="252">
        <v>446</v>
      </c>
      <c r="I64" s="252">
        <v>18179</v>
      </c>
      <c r="J64" s="252">
        <v>252</v>
      </c>
      <c r="K64" s="252">
        <v>19185</v>
      </c>
      <c r="L64" s="252">
        <v>155</v>
      </c>
      <c r="M64" s="253">
        <v>20338</v>
      </c>
    </row>
    <row r="65" spans="1:13" x14ac:dyDescent="0.25">
      <c r="A65" s="79" t="s">
        <v>104</v>
      </c>
      <c r="B65" s="80">
        <f>SUM(B66:B72)</f>
        <v>148</v>
      </c>
      <c r="C65" s="80">
        <f t="shared" ref="C65:M65" si="9">SUM(C66:C72)</f>
        <v>19280</v>
      </c>
      <c r="D65" s="80">
        <f t="shared" si="9"/>
        <v>120</v>
      </c>
      <c r="E65" s="80">
        <f t="shared" si="9"/>
        <v>37697</v>
      </c>
      <c r="F65" s="80">
        <f t="shared" si="9"/>
        <v>1499</v>
      </c>
      <c r="G65" s="80">
        <f t="shared" si="9"/>
        <v>18268</v>
      </c>
      <c r="H65" s="80">
        <f t="shared" si="9"/>
        <v>232</v>
      </c>
      <c r="I65" s="80">
        <f t="shared" si="9"/>
        <v>21095</v>
      </c>
      <c r="J65" s="80">
        <f t="shared" si="9"/>
        <v>458</v>
      </c>
      <c r="K65" s="80">
        <f t="shared" si="9"/>
        <v>25886</v>
      </c>
      <c r="L65" s="80">
        <f t="shared" si="9"/>
        <v>329</v>
      </c>
      <c r="M65" s="81">
        <f t="shared" si="9"/>
        <v>25431</v>
      </c>
    </row>
    <row r="66" spans="1:13" x14ac:dyDescent="0.25">
      <c r="A66" s="89" t="s">
        <v>105</v>
      </c>
      <c r="B66" s="252">
        <v>21</v>
      </c>
      <c r="C66" s="252">
        <f>394+199+38+7+4</f>
        <v>642</v>
      </c>
      <c r="D66" s="252">
        <v>11</v>
      </c>
      <c r="E66" s="252">
        <f>303+135+150+20+7</f>
        <v>615</v>
      </c>
      <c r="F66" s="252">
        <v>27</v>
      </c>
      <c r="G66" s="252">
        <f>392+111+413+62+6</f>
        <v>984</v>
      </c>
      <c r="H66" s="252">
        <v>32</v>
      </c>
      <c r="I66" s="252">
        <f>681+246+475+34</f>
        <v>1436</v>
      </c>
      <c r="J66" s="252">
        <v>43</v>
      </c>
      <c r="K66" s="252">
        <f>667+393+777+69</f>
        <v>1906</v>
      </c>
      <c r="L66" s="252">
        <v>37</v>
      </c>
      <c r="M66" s="253">
        <f>560+384+657+88+10</f>
        <v>1699</v>
      </c>
    </row>
    <row r="67" spans="1:13" x14ac:dyDescent="0.25">
      <c r="A67" s="89" t="s">
        <v>106</v>
      </c>
      <c r="B67" s="252">
        <v>0</v>
      </c>
      <c r="C67" s="252">
        <v>700</v>
      </c>
      <c r="D67" s="252">
        <v>3</v>
      </c>
      <c r="E67" s="252">
        <v>800</v>
      </c>
      <c r="F67" s="252">
        <v>2</v>
      </c>
      <c r="G67" s="252">
        <f>710+130</f>
        <v>840</v>
      </c>
      <c r="H67" s="252">
        <v>6</v>
      </c>
      <c r="I67" s="252">
        <f>500+100</f>
        <v>600</v>
      </c>
      <c r="J67" s="252">
        <v>15</v>
      </c>
      <c r="K67" s="252">
        <f>500+350</f>
        <v>850</v>
      </c>
      <c r="L67" s="252">
        <v>10</v>
      </c>
      <c r="M67" s="253">
        <v>900</v>
      </c>
    </row>
    <row r="68" spans="1:13" x14ac:dyDescent="0.25">
      <c r="A68" s="89" t="s">
        <v>107</v>
      </c>
      <c r="B68" s="252">
        <v>5</v>
      </c>
      <c r="C68" s="252">
        <f>SUM(1160+610)</f>
        <v>1770</v>
      </c>
      <c r="D68" s="252">
        <v>5</v>
      </c>
      <c r="E68" s="252">
        <f>3645+1370</f>
        <v>5015</v>
      </c>
      <c r="F68" s="252">
        <v>1375</v>
      </c>
      <c r="G68" s="252">
        <v>3645</v>
      </c>
      <c r="H68" s="252">
        <v>12</v>
      </c>
      <c r="I68" s="252">
        <v>1910</v>
      </c>
      <c r="J68" s="252">
        <v>58</v>
      </c>
      <c r="K68" s="252">
        <v>1970</v>
      </c>
      <c r="L68" s="252">
        <v>36</v>
      </c>
      <c r="M68" s="253">
        <f>1440+980</f>
        <v>2420</v>
      </c>
    </row>
    <row r="69" spans="1:13" x14ac:dyDescent="0.25">
      <c r="A69" s="89" t="s">
        <v>193</v>
      </c>
      <c r="B69" s="252">
        <v>4</v>
      </c>
      <c r="C69" s="252">
        <v>5052</v>
      </c>
      <c r="D69" s="252">
        <v>9</v>
      </c>
      <c r="E69" s="252">
        <v>2700</v>
      </c>
      <c r="F69" s="252">
        <v>35</v>
      </c>
      <c r="G69" s="252">
        <v>2770</v>
      </c>
      <c r="H69" s="252">
        <v>127</v>
      </c>
      <c r="I69" s="252">
        <v>10900</v>
      </c>
      <c r="J69" s="252">
        <v>196</v>
      </c>
      <c r="K69" s="252">
        <v>7740</v>
      </c>
      <c r="L69" s="252">
        <v>48</v>
      </c>
      <c r="M69" s="253">
        <v>8425</v>
      </c>
    </row>
    <row r="70" spans="1:13" x14ac:dyDescent="0.25">
      <c r="A70" s="89" t="s">
        <v>109</v>
      </c>
      <c r="B70" s="252">
        <v>7</v>
      </c>
      <c r="C70" s="252">
        <f>SUM(2033+3807+291+9)</f>
        <v>6140</v>
      </c>
      <c r="D70" s="252">
        <v>4</v>
      </c>
      <c r="E70" s="252">
        <f>6689+13378+712+29</f>
        <v>20808</v>
      </c>
      <c r="F70" s="252">
        <v>1</v>
      </c>
      <c r="G70" s="252">
        <v>6413</v>
      </c>
      <c r="H70" s="252">
        <v>0</v>
      </c>
      <c r="I70" s="252">
        <f>2119+3327+287+12</f>
        <v>5745</v>
      </c>
      <c r="J70" s="252">
        <v>4</v>
      </c>
      <c r="K70" s="252">
        <f>3327+6683+475+18</f>
        <v>10503</v>
      </c>
      <c r="L70" s="252">
        <v>0</v>
      </c>
      <c r="M70" s="253">
        <f>2319+3517+607+43</f>
        <v>6486</v>
      </c>
    </row>
    <row r="71" spans="1:13" x14ac:dyDescent="0.25">
      <c r="A71" s="89" t="s">
        <v>110</v>
      </c>
      <c r="B71" s="252">
        <v>23</v>
      </c>
      <c r="C71" s="252">
        <v>3510</v>
      </c>
      <c r="D71" s="258">
        <v>28</v>
      </c>
      <c r="E71" s="258">
        <v>4692</v>
      </c>
      <c r="F71" s="258">
        <v>20</v>
      </c>
      <c r="G71" s="258">
        <v>1546</v>
      </c>
      <c r="H71" s="252">
        <v>4</v>
      </c>
      <c r="I71" s="252">
        <v>318</v>
      </c>
      <c r="J71" s="252">
        <v>20</v>
      </c>
      <c r="K71" s="252">
        <v>469</v>
      </c>
      <c r="L71" s="252">
        <v>56</v>
      </c>
      <c r="M71" s="253">
        <v>2525</v>
      </c>
    </row>
    <row r="72" spans="1:13" x14ac:dyDescent="0.25">
      <c r="A72" s="89" t="s">
        <v>194</v>
      </c>
      <c r="B72" s="252">
        <v>88</v>
      </c>
      <c r="C72" s="252">
        <v>1466</v>
      </c>
      <c r="D72" s="252">
        <v>60</v>
      </c>
      <c r="E72" s="252">
        <v>3067</v>
      </c>
      <c r="F72" s="252">
        <v>39</v>
      </c>
      <c r="G72" s="252">
        <v>2070</v>
      </c>
      <c r="H72" s="252">
        <v>51</v>
      </c>
      <c r="I72" s="252">
        <v>186</v>
      </c>
      <c r="J72" s="252">
        <v>122</v>
      </c>
      <c r="K72" s="252">
        <v>2448</v>
      </c>
      <c r="L72" s="252">
        <v>142</v>
      </c>
      <c r="M72" s="253">
        <v>2976</v>
      </c>
    </row>
    <row r="73" spans="1:13" x14ac:dyDescent="0.25">
      <c r="A73" s="79" t="s">
        <v>113</v>
      </c>
      <c r="B73" s="80">
        <f t="shared" ref="B73:M73" si="10">SUM(B74:B83)</f>
        <v>253</v>
      </c>
      <c r="C73" s="80">
        <f t="shared" si="10"/>
        <v>7761</v>
      </c>
      <c r="D73" s="80">
        <f t="shared" si="10"/>
        <v>456</v>
      </c>
      <c r="E73" s="80">
        <f t="shared" si="10"/>
        <v>8251</v>
      </c>
      <c r="F73" s="80">
        <f t="shared" si="10"/>
        <v>593</v>
      </c>
      <c r="G73" s="80">
        <f t="shared" si="10"/>
        <v>5268</v>
      </c>
      <c r="H73" s="80">
        <f t="shared" si="10"/>
        <v>708</v>
      </c>
      <c r="I73" s="80">
        <f t="shared" si="10"/>
        <v>6895</v>
      </c>
      <c r="J73" s="80">
        <f t="shared" si="10"/>
        <v>451</v>
      </c>
      <c r="K73" s="80">
        <f t="shared" si="10"/>
        <v>7807</v>
      </c>
      <c r="L73" s="80">
        <f t="shared" si="10"/>
        <v>248</v>
      </c>
      <c r="M73" s="81">
        <f t="shared" si="10"/>
        <v>11405</v>
      </c>
    </row>
    <row r="74" spans="1:13" x14ac:dyDescent="0.25">
      <c r="A74" s="89" t="s">
        <v>114</v>
      </c>
      <c r="B74" s="83">
        <v>90</v>
      </c>
      <c r="C74" s="83">
        <f>249+600+418</f>
        <v>1267</v>
      </c>
      <c r="D74" s="83">
        <v>198</v>
      </c>
      <c r="E74" s="83">
        <f>404+1100+634</f>
        <v>2138</v>
      </c>
      <c r="F74" s="83">
        <v>264</v>
      </c>
      <c r="G74" s="83">
        <f>584+600</f>
        <v>1184</v>
      </c>
      <c r="H74" s="83">
        <v>412</v>
      </c>
      <c r="I74" s="83">
        <f>572+1000+692</f>
        <v>2264</v>
      </c>
      <c r="J74" s="83">
        <v>267</v>
      </c>
      <c r="K74" s="83">
        <f>1029+970+1200</f>
        <v>3199</v>
      </c>
      <c r="L74" s="83">
        <v>136</v>
      </c>
      <c r="M74" s="84">
        <f>3802+1700+560</f>
        <v>6062</v>
      </c>
    </row>
    <row r="75" spans="1:13" x14ac:dyDescent="0.25">
      <c r="A75" s="89" t="s">
        <v>115</v>
      </c>
      <c r="B75" s="83">
        <v>38</v>
      </c>
      <c r="C75" s="83">
        <f>SUM(382+995+181)</f>
        <v>1558</v>
      </c>
      <c r="D75" s="83">
        <v>94</v>
      </c>
      <c r="E75" s="83">
        <f>653+801+269</f>
        <v>1723</v>
      </c>
      <c r="F75" s="83">
        <v>98</v>
      </c>
      <c r="G75" s="83">
        <f>504+530+178</f>
        <v>1212</v>
      </c>
      <c r="H75" s="83">
        <v>136</v>
      </c>
      <c r="I75" s="83">
        <f>374+499+184</f>
        <v>1057</v>
      </c>
      <c r="J75" s="83">
        <v>96</v>
      </c>
      <c r="K75" s="83">
        <f>882+550+138</f>
        <v>1570</v>
      </c>
      <c r="L75" s="83">
        <v>68</v>
      </c>
      <c r="M75" s="84">
        <f>533+703+225</f>
        <v>1461</v>
      </c>
    </row>
    <row r="76" spans="1:13" x14ac:dyDescent="0.25">
      <c r="A76" s="254" t="s">
        <v>116</v>
      </c>
      <c r="B76" s="83">
        <v>8</v>
      </c>
      <c r="C76" s="83">
        <f>SUM(200+120+30)</f>
        <v>350</v>
      </c>
      <c r="D76" s="83">
        <v>0</v>
      </c>
      <c r="E76" s="83">
        <f>400+120+30</f>
        <v>550</v>
      </c>
      <c r="F76" s="83">
        <v>25</v>
      </c>
      <c r="G76" s="83">
        <f>400+170+30</f>
        <v>600</v>
      </c>
      <c r="H76" s="83">
        <v>10</v>
      </c>
      <c r="I76" s="83">
        <f>700+120+30</f>
        <v>850</v>
      </c>
      <c r="J76" s="83">
        <v>7</v>
      </c>
      <c r="K76" s="83">
        <f>647+120+30</f>
        <v>797</v>
      </c>
      <c r="L76" s="83">
        <v>0</v>
      </c>
      <c r="M76" s="83">
        <f>1013+95+45</f>
        <v>1153</v>
      </c>
    </row>
    <row r="77" spans="1:13" x14ac:dyDescent="0.25">
      <c r="A77" s="85" t="s">
        <v>117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</row>
    <row r="78" spans="1:13" x14ac:dyDescent="0.25">
      <c r="A78" s="254" t="s">
        <v>118</v>
      </c>
      <c r="B78" s="83">
        <v>12</v>
      </c>
      <c r="C78" s="83">
        <f>SUM(301+346+110)</f>
        <v>757</v>
      </c>
      <c r="D78" s="83">
        <v>10</v>
      </c>
      <c r="E78" s="83">
        <f>166+200+60</f>
        <v>426</v>
      </c>
      <c r="F78" s="83">
        <v>36</v>
      </c>
      <c r="G78" s="83">
        <f>138+129+40</f>
        <v>307</v>
      </c>
      <c r="H78" s="83">
        <v>12</v>
      </c>
      <c r="I78" s="83">
        <f>164+90+33</f>
        <v>287</v>
      </c>
      <c r="J78" s="83">
        <v>9</v>
      </c>
      <c r="K78" s="83">
        <f>84+100+17</f>
        <v>201</v>
      </c>
      <c r="L78" s="83">
        <v>6</v>
      </c>
      <c r="M78" s="84">
        <f>60+70+20</f>
        <v>150</v>
      </c>
    </row>
    <row r="79" spans="1:13" x14ac:dyDescent="0.25">
      <c r="A79" s="254" t="s">
        <v>119</v>
      </c>
      <c r="B79" s="83">
        <v>1</v>
      </c>
      <c r="C79" s="83">
        <f>SUM(43+200+130)</f>
        <v>373</v>
      </c>
      <c r="D79" s="83">
        <v>0</v>
      </c>
      <c r="E79" s="83">
        <f>146+500+201</f>
        <v>847</v>
      </c>
      <c r="F79" s="83">
        <v>1</v>
      </c>
      <c r="G79" s="83">
        <f>122+290+100</f>
        <v>512</v>
      </c>
      <c r="H79" s="83">
        <v>0</v>
      </c>
      <c r="I79" s="83">
        <f>402+500+221</f>
        <v>1123</v>
      </c>
      <c r="J79" s="83">
        <v>0</v>
      </c>
      <c r="K79" s="83">
        <f>247+500+326</f>
        <v>1073</v>
      </c>
      <c r="L79" s="83">
        <v>0</v>
      </c>
      <c r="M79" s="84">
        <f>404+558+300</f>
        <v>1262</v>
      </c>
    </row>
    <row r="80" spans="1:13" x14ac:dyDescent="0.25">
      <c r="A80" s="254" t="s">
        <v>120</v>
      </c>
      <c r="B80" s="83">
        <v>0</v>
      </c>
      <c r="C80" s="83">
        <f>SUM(18+18)</f>
        <v>36</v>
      </c>
      <c r="D80" s="83">
        <v>0</v>
      </c>
      <c r="E80" s="83">
        <f>64+34</f>
        <v>98</v>
      </c>
      <c r="F80" s="83">
        <v>0</v>
      </c>
      <c r="G80" s="83">
        <v>42</v>
      </c>
      <c r="H80" s="83">
        <v>0</v>
      </c>
      <c r="I80" s="83">
        <f>41+36</f>
        <v>77</v>
      </c>
      <c r="J80" s="83">
        <v>0</v>
      </c>
      <c r="K80" s="83">
        <f>111+22</f>
        <v>133</v>
      </c>
      <c r="L80" s="83">
        <v>0</v>
      </c>
      <c r="M80" s="84">
        <f>63+216</f>
        <v>279</v>
      </c>
    </row>
    <row r="81" spans="1:13" x14ac:dyDescent="0.25">
      <c r="A81" s="254" t="s">
        <v>121</v>
      </c>
      <c r="B81" s="83">
        <v>16</v>
      </c>
      <c r="C81" s="83">
        <f>SUM(38+17+10)</f>
        <v>65</v>
      </c>
      <c r="D81" s="83">
        <v>12</v>
      </c>
      <c r="E81" s="83">
        <f>45+37+24</f>
        <v>106</v>
      </c>
      <c r="F81" s="83">
        <v>22</v>
      </c>
      <c r="G81" s="83">
        <f>42+30+34</f>
        <v>106</v>
      </c>
      <c r="H81" s="83">
        <v>34</v>
      </c>
      <c r="I81" s="83">
        <f>74+75+36</f>
        <v>185</v>
      </c>
      <c r="J81" s="83">
        <v>30</v>
      </c>
      <c r="K81" s="83">
        <f>73+81+22</f>
        <v>176</v>
      </c>
      <c r="L81" s="83">
        <v>18</v>
      </c>
      <c r="M81" s="84">
        <f>204+85+74</f>
        <v>363</v>
      </c>
    </row>
    <row r="82" spans="1:13" x14ac:dyDescent="0.25">
      <c r="A82" s="85" t="s">
        <v>122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</row>
    <row r="83" spans="1:13" x14ac:dyDescent="0.25">
      <c r="A83" s="254" t="s">
        <v>123</v>
      </c>
      <c r="B83" s="83">
        <v>88</v>
      </c>
      <c r="C83" s="83">
        <f>SUM(970+1385+1000)</f>
        <v>3355</v>
      </c>
      <c r="D83" s="83">
        <v>142</v>
      </c>
      <c r="E83" s="83">
        <f>699+960+704</f>
        <v>2363</v>
      </c>
      <c r="F83" s="83">
        <v>147</v>
      </c>
      <c r="G83" s="83">
        <f>333+700+272</f>
        <v>1305</v>
      </c>
      <c r="H83" s="83">
        <v>104</v>
      </c>
      <c r="I83" s="83">
        <f>204+500+348</f>
        <v>1052</v>
      </c>
      <c r="J83" s="83">
        <v>42</v>
      </c>
      <c r="K83" s="83">
        <f>112+400+146</f>
        <v>658</v>
      </c>
      <c r="L83" s="83">
        <v>20</v>
      </c>
      <c r="M83" s="84">
        <f>113+300+262</f>
        <v>675</v>
      </c>
    </row>
    <row r="84" spans="1:13" x14ac:dyDescent="0.25">
      <c r="A84" s="79" t="s">
        <v>124</v>
      </c>
      <c r="B84" s="80">
        <f>SUM(B85:B87)</f>
        <v>2</v>
      </c>
      <c r="C84" s="80">
        <f t="shared" ref="C84:M84" si="11">SUM(C85:C87)</f>
        <v>49</v>
      </c>
      <c r="D84" s="80">
        <f t="shared" si="11"/>
        <v>1</v>
      </c>
      <c r="E84" s="80">
        <f t="shared" si="11"/>
        <v>40</v>
      </c>
      <c r="F84" s="80">
        <f t="shared" si="11"/>
        <v>0</v>
      </c>
      <c r="G84" s="80">
        <f t="shared" si="11"/>
        <v>132</v>
      </c>
      <c r="H84" s="80">
        <f t="shared" si="11"/>
        <v>0</v>
      </c>
      <c r="I84" s="80">
        <f t="shared" si="11"/>
        <v>474</v>
      </c>
      <c r="J84" s="80">
        <f t="shared" si="11"/>
        <v>0</v>
      </c>
      <c r="K84" s="80">
        <f t="shared" si="11"/>
        <v>349</v>
      </c>
      <c r="L84" s="80">
        <f t="shared" si="11"/>
        <v>0</v>
      </c>
      <c r="M84" s="80">
        <f t="shared" si="11"/>
        <v>49</v>
      </c>
    </row>
    <row r="85" spans="1:13" x14ac:dyDescent="0.25">
      <c r="A85" s="254" t="s">
        <v>125</v>
      </c>
      <c r="B85" s="83">
        <v>0</v>
      </c>
      <c r="C85" s="83">
        <v>38</v>
      </c>
      <c r="D85" s="83">
        <v>0</v>
      </c>
      <c r="E85" s="83">
        <v>24</v>
      </c>
      <c r="F85" s="83">
        <v>0</v>
      </c>
      <c r="G85" s="83">
        <v>94</v>
      </c>
      <c r="H85" s="83">
        <v>0</v>
      </c>
      <c r="I85" s="83">
        <v>433</v>
      </c>
      <c r="J85" s="83">
        <v>0</v>
      </c>
      <c r="K85" s="83">
        <v>240</v>
      </c>
      <c r="L85" s="83">
        <v>0</v>
      </c>
      <c r="M85" s="84">
        <v>36</v>
      </c>
    </row>
    <row r="86" spans="1:13" x14ac:dyDescent="0.25">
      <c r="A86" s="254" t="s">
        <v>126</v>
      </c>
      <c r="B86" s="83">
        <v>2</v>
      </c>
      <c r="C86" s="83">
        <v>2</v>
      </c>
      <c r="D86" s="83">
        <v>1</v>
      </c>
      <c r="E86" s="83">
        <v>3</v>
      </c>
      <c r="F86" s="83">
        <v>0</v>
      </c>
      <c r="G86" s="83">
        <v>26</v>
      </c>
      <c r="H86" s="83">
        <v>0</v>
      </c>
      <c r="I86" s="83">
        <v>36</v>
      </c>
      <c r="J86" s="83">
        <v>0</v>
      </c>
      <c r="K86" s="83">
        <v>99</v>
      </c>
      <c r="L86" s="83">
        <v>0</v>
      </c>
      <c r="M86" s="84">
        <v>7</v>
      </c>
    </row>
    <row r="87" spans="1:13" x14ac:dyDescent="0.25">
      <c r="A87" s="254" t="s">
        <v>127</v>
      </c>
      <c r="B87" s="83">
        <v>0</v>
      </c>
      <c r="C87" s="83">
        <v>9</v>
      </c>
      <c r="D87" s="83">
        <v>0</v>
      </c>
      <c r="E87" s="83">
        <v>13</v>
      </c>
      <c r="F87" s="83">
        <v>0</v>
      </c>
      <c r="G87" s="83">
        <v>12</v>
      </c>
      <c r="H87" s="83">
        <v>0</v>
      </c>
      <c r="I87" s="83">
        <v>5</v>
      </c>
      <c r="J87" s="83">
        <v>0</v>
      </c>
      <c r="K87" s="83">
        <v>10</v>
      </c>
      <c r="L87" s="83">
        <v>0</v>
      </c>
      <c r="M87" s="84">
        <v>6</v>
      </c>
    </row>
    <row r="88" spans="1:13" x14ac:dyDescent="0.25">
      <c r="A88" s="102" t="s">
        <v>128</v>
      </c>
      <c r="B88" s="259"/>
      <c r="C88" s="259"/>
      <c r="D88" s="259"/>
      <c r="E88" s="259"/>
      <c r="F88" s="260" t="s">
        <v>195</v>
      </c>
      <c r="G88" s="259"/>
      <c r="H88" s="259"/>
      <c r="I88" s="259"/>
      <c r="J88" s="259"/>
      <c r="K88" s="259"/>
      <c r="L88" s="259"/>
      <c r="M88" s="259"/>
    </row>
    <row r="89" spans="1:13" ht="15.75" thickBot="1" x14ac:dyDescent="0.3">
      <c r="A89" s="261" t="s">
        <v>196</v>
      </c>
    </row>
    <row r="90" spans="1:13" x14ac:dyDescent="0.25">
      <c r="A90" s="154" t="s">
        <v>130</v>
      </c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6"/>
    </row>
    <row r="91" spans="1:13" ht="15.75" thickBot="1" x14ac:dyDescent="0.3">
      <c r="A91" s="157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9"/>
    </row>
    <row r="92" spans="1:13" x14ac:dyDescent="0.25">
      <c r="A92" s="160" t="s">
        <v>86</v>
      </c>
      <c r="B92" s="162" t="s">
        <v>37</v>
      </c>
      <c r="C92" s="162"/>
      <c r="D92" s="162" t="s">
        <v>68</v>
      </c>
      <c r="E92" s="162"/>
      <c r="F92" s="162" t="s">
        <v>131</v>
      </c>
      <c r="G92" s="162"/>
      <c r="H92" s="162" t="s">
        <v>40</v>
      </c>
      <c r="I92" s="162"/>
      <c r="J92" s="162" t="s">
        <v>41</v>
      </c>
      <c r="K92" s="162"/>
      <c r="L92" s="162" t="s">
        <v>42</v>
      </c>
      <c r="M92" s="167"/>
    </row>
    <row r="93" spans="1:13" x14ac:dyDescent="0.25">
      <c r="A93" s="161"/>
      <c r="B93" s="75" t="s">
        <v>88</v>
      </c>
      <c r="C93" s="75" t="s">
        <v>89</v>
      </c>
      <c r="D93" s="75" t="s">
        <v>88</v>
      </c>
      <c r="E93" s="75" t="s">
        <v>89</v>
      </c>
      <c r="F93" s="75" t="s">
        <v>88</v>
      </c>
      <c r="G93" s="75" t="s">
        <v>89</v>
      </c>
      <c r="H93" s="75" t="s">
        <v>88</v>
      </c>
      <c r="I93" s="75" t="s">
        <v>89</v>
      </c>
      <c r="J93" s="75" t="s">
        <v>88</v>
      </c>
      <c r="K93" s="75" t="s">
        <v>89</v>
      </c>
      <c r="L93" s="75" t="s">
        <v>88</v>
      </c>
      <c r="M93" s="76" t="s">
        <v>89</v>
      </c>
    </row>
    <row r="94" spans="1:13" x14ac:dyDescent="0.25">
      <c r="A94" s="77" t="s">
        <v>90</v>
      </c>
      <c r="B94" s="78">
        <f>B95+B103+B108+B123</f>
        <v>920</v>
      </c>
      <c r="C94" s="78">
        <f t="shared" ref="C94:M94" si="12">C95+C103+C108+C123</f>
        <v>67806</v>
      </c>
      <c r="D94" s="78">
        <f t="shared" si="12"/>
        <v>978</v>
      </c>
      <c r="E94" s="78">
        <f t="shared" si="12"/>
        <v>87660</v>
      </c>
      <c r="F94" s="78">
        <f t="shared" si="12"/>
        <v>1491</v>
      </c>
      <c r="G94" s="78">
        <f t="shared" si="12"/>
        <v>60266</v>
      </c>
      <c r="H94" s="78">
        <f t="shared" si="12"/>
        <v>2813</v>
      </c>
      <c r="I94" s="78">
        <f t="shared" si="12"/>
        <v>226134</v>
      </c>
      <c r="J94" s="78">
        <f t="shared" si="12"/>
        <v>1335</v>
      </c>
      <c r="K94" s="78">
        <f t="shared" si="12"/>
        <v>115468</v>
      </c>
      <c r="L94" s="78">
        <f t="shared" si="12"/>
        <v>892</v>
      </c>
      <c r="M94" s="78">
        <f t="shared" si="12"/>
        <v>183085</v>
      </c>
    </row>
    <row r="95" spans="1:13" x14ac:dyDescent="0.25">
      <c r="A95" s="79" t="s">
        <v>96</v>
      </c>
      <c r="B95" s="80">
        <f>SUM(B96:B102)</f>
        <v>385</v>
      </c>
      <c r="C95" s="80">
        <f>SUM(C96:C102)</f>
        <v>40726</v>
      </c>
      <c r="D95" s="80">
        <f>SUM(D96:D102)</f>
        <v>443</v>
      </c>
      <c r="E95" s="80">
        <f>SUM(E96:E102)</f>
        <v>56533</v>
      </c>
      <c r="F95" s="80">
        <f>SUM(F96:F102)</f>
        <v>762</v>
      </c>
      <c r="G95" s="80">
        <f t="shared" ref="G95:M95" si="13">SUM(G96:G102)</f>
        <v>44890</v>
      </c>
      <c r="H95" s="80">
        <f t="shared" si="13"/>
        <v>1313</v>
      </c>
      <c r="I95" s="80">
        <f t="shared" si="13"/>
        <v>143166</v>
      </c>
      <c r="J95" s="80">
        <f t="shared" si="13"/>
        <v>412</v>
      </c>
      <c r="K95" s="80">
        <f t="shared" si="13"/>
        <v>94124</v>
      </c>
      <c r="L95" s="80">
        <f t="shared" si="13"/>
        <v>578</v>
      </c>
      <c r="M95" s="81">
        <f t="shared" si="13"/>
        <v>137651</v>
      </c>
    </row>
    <row r="96" spans="1:13" x14ac:dyDescent="0.25">
      <c r="A96" s="85" t="s">
        <v>132</v>
      </c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5"/>
    </row>
    <row r="97" spans="1:13" x14ac:dyDescent="0.25">
      <c r="A97" s="86" t="s">
        <v>133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5"/>
    </row>
    <row r="98" spans="1:13" x14ac:dyDescent="0.25">
      <c r="A98" s="89" t="s">
        <v>99</v>
      </c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5"/>
    </row>
    <row r="99" spans="1:13" x14ac:dyDescent="0.25">
      <c r="A99" s="86" t="s">
        <v>134</v>
      </c>
      <c r="B99" s="83">
        <v>41</v>
      </c>
      <c r="C99" s="83">
        <v>21092</v>
      </c>
      <c r="D99" s="96">
        <v>35</v>
      </c>
      <c r="E99" s="96">
        <v>28905</v>
      </c>
      <c r="F99" s="83">
        <v>70</v>
      </c>
      <c r="G99" s="83">
        <v>28954</v>
      </c>
      <c r="H99" s="83">
        <v>88</v>
      </c>
      <c r="I99" s="83">
        <v>39448</v>
      </c>
      <c r="J99" s="83">
        <v>41</v>
      </c>
      <c r="K99" s="83">
        <v>22340</v>
      </c>
      <c r="L99" s="83">
        <v>94</v>
      </c>
      <c r="M99" s="84">
        <v>39470</v>
      </c>
    </row>
    <row r="100" spans="1:13" x14ac:dyDescent="0.25">
      <c r="A100" s="86" t="s">
        <v>135</v>
      </c>
      <c r="B100" s="83">
        <v>45</v>
      </c>
      <c r="C100" s="83">
        <v>6003</v>
      </c>
      <c r="D100" s="83">
        <v>75</v>
      </c>
      <c r="E100" s="83">
        <v>11490</v>
      </c>
      <c r="F100" s="83">
        <v>340</v>
      </c>
      <c r="G100" s="83">
        <v>2439</v>
      </c>
      <c r="H100" s="83">
        <v>51</v>
      </c>
      <c r="I100" s="83">
        <v>47645</v>
      </c>
      <c r="J100" s="83">
        <v>30</v>
      </c>
      <c r="K100" s="83">
        <v>4680</v>
      </c>
      <c r="L100" s="83">
        <v>30</v>
      </c>
      <c r="M100" s="84">
        <v>16150</v>
      </c>
    </row>
    <row r="101" spans="1:13" x14ac:dyDescent="0.25">
      <c r="A101" s="86" t="s">
        <v>136</v>
      </c>
      <c r="B101" s="83">
        <v>292</v>
      </c>
      <c r="C101" s="83">
        <v>9301</v>
      </c>
      <c r="D101" s="83">
        <v>329</v>
      </c>
      <c r="E101" s="83">
        <v>10220</v>
      </c>
      <c r="F101" s="83">
        <v>346</v>
      </c>
      <c r="G101" s="83">
        <v>9768</v>
      </c>
      <c r="H101" s="83">
        <v>1147</v>
      </c>
      <c r="I101" s="83">
        <v>33716</v>
      </c>
      <c r="J101" s="83">
        <v>331</v>
      </c>
      <c r="K101" s="87">
        <v>35947</v>
      </c>
      <c r="L101" s="83">
        <v>454</v>
      </c>
      <c r="M101" s="84">
        <v>44738</v>
      </c>
    </row>
    <row r="102" spans="1:13" x14ac:dyDescent="0.25">
      <c r="A102" s="86" t="s">
        <v>137</v>
      </c>
      <c r="B102" s="83">
        <v>7</v>
      </c>
      <c r="C102" s="83">
        <v>4330</v>
      </c>
      <c r="D102" s="83">
        <v>4</v>
      </c>
      <c r="E102" s="83">
        <v>5918</v>
      </c>
      <c r="F102" s="83">
        <v>6</v>
      </c>
      <c r="G102" s="83">
        <v>3729</v>
      </c>
      <c r="H102" s="83">
        <v>27</v>
      </c>
      <c r="I102" s="83">
        <v>22357</v>
      </c>
      <c r="J102" s="83">
        <v>10</v>
      </c>
      <c r="K102" s="83">
        <v>31157</v>
      </c>
      <c r="L102" s="83">
        <v>0</v>
      </c>
      <c r="M102" s="84">
        <v>37293</v>
      </c>
    </row>
    <row r="103" spans="1:13" x14ac:dyDescent="0.25">
      <c r="A103" s="79" t="s">
        <v>104</v>
      </c>
      <c r="B103" s="80">
        <f>SUM(B104:B107)</f>
        <v>128</v>
      </c>
      <c r="C103" s="80">
        <f t="shared" ref="C103:M103" si="14">SUM(C104:C107)</f>
        <v>11284</v>
      </c>
      <c r="D103" s="80">
        <f t="shared" si="14"/>
        <v>197</v>
      </c>
      <c r="E103" s="80">
        <f t="shared" si="14"/>
        <v>13254</v>
      </c>
      <c r="F103" s="80">
        <f t="shared" si="14"/>
        <v>218</v>
      </c>
      <c r="G103" s="80">
        <f t="shared" si="14"/>
        <v>7565</v>
      </c>
      <c r="H103" s="80">
        <f t="shared" si="14"/>
        <v>132</v>
      </c>
      <c r="I103" s="80">
        <f t="shared" si="14"/>
        <v>14826</v>
      </c>
      <c r="J103" s="80">
        <f t="shared" si="14"/>
        <v>56</v>
      </c>
      <c r="K103" s="80">
        <f t="shared" si="14"/>
        <v>6917</v>
      </c>
      <c r="L103" s="80">
        <f t="shared" si="14"/>
        <v>40</v>
      </c>
      <c r="M103" s="81">
        <f t="shared" si="14"/>
        <v>23076</v>
      </c>
    </row>
    <row r="104" spans="1:13" x14ac:dyDescent="0.25">
      <c r="A104" s="86" t="s">
        <v>138</v>
      </c>
      <c r="B104" s="83">
        <v>25</v>
      </c>
      <c r="C104" s="83">
        <f>1340+390</f>
        <v>1730</v>
      </c>
      <c r="D104" s="83">
        <v>46</v>
      </c>
      <c r="E104" s="83">
        <f>1835+630</f>
        <v>2465</v>
      </c>
      <c r="F104" s="83">
        <v>46</v>
      </c>
      <c r="G104" s="83">
        <v>652</v>
      </c>
      <c r="H104" s="83">
        <v>26</v>
      </c>
      <c r="I104" s="83">
        <f>2990+840</f>
        <v>3830</v>
      </c>
      <c r="J104" s="83">
        <v>5</v>
      </c>
      <c r="K104" s="83">
        <f>1180+430</f>
        <v>1610</v>
      </c>
      <c r="L104" s="83">
        <v>1</v>
      </c>
      <c r="M104" s="84">
        <f>1320+530</f>
        <v>1850</v>
      </c>
    </row>
    <row r="105" spans="1:13" x14ac:dyDescent="0.25">
      <c r="A105" s="86" t="s">
        <v>139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83">
        <v>22</v>
      </c>
      <c r="M105" s="84">
        <v>5760</v>
      </c>
    </row>
    <row r="106" spans="1:13" x14ac:dyDescent="0.25">
      <c r="A106" s="86" t="s">
        <v>140</v>
      </c>
      <c r="B106" s="83">
        <v>96</v>
      </c>
      <c r="C106" s="83">
        <v>4900</v>
      </c>
      <c r="D106" s="83">
        <v>145</v>
      </c>
      <c r="E106" s="83">
        <v>5945</v>
      </c>
      <c r="F106" s="83">
        <v>158</v>
      </c>
      <c r="G106" s="83">
        <v>550</v>
      </c>
      <c r="H106" s="83">
        <v>106</v>
      </c>
      <c r="I106" s="83">
        <v>1500</v>
      </c>
      <c r="J106" s="83">
        <v>47</v>
      </c>
      <c r="K106" s="83">
        <v>1070</v>
      </c>
      <c r="L106" s="83">
        <v>17</v>
      </c>
      <c r="M106" s="84">
        <v>9800</v>
      </c>
    </row>
    <row r="107" spans="1:13" x14ac:dyDescent="0.25">
      <c r="A107" s="86" t="s">
        <v>141</v>
      </c>
      <c r="B107" s="83">
        <v>7</v>
      </c>
      <c r="C107" s="83">
        <f>1905+2315+403+31</f>
        <v>4654</v>
      </c>
      <c r="D107" s="83">
        <v>6</v>
      </c>
      <c r="E107" s="83">
        <f>1727+2726+372+19</f>
        <v>4844</v>
      </c>
      <c r="F107" s="83">
        <f>8+6</f>
        <v>14</v>
      </c>
      <c r="G107" s="83">
        <f>2719+3304+319+21</f>
        <v>6363</v>
      </c>
      <c r="H107" s="83">
        <v>0</v>
      </c>
      <c r="I107" s="83">
        <f>3061+6124+294+17</f>
        <v>9496</v>
      </c>
      <c r="J107" s="83">
        <v>4</v>
      </c>
      <c r="K107" s="83">
        <f>1380+2475+360+22</f>
        <v>4237</v>
      </c>
      <c r="L107" s="83">
        <v>0</v>
      </c>
      <c r="M107" s="84">
        <f>2393+2982+277+14</f>
        <v>5666</v>
      </c>
    </row>
    <row r="108" spans="1:13" x14ac:dyDescent="0.25">
      <c r="A108" s="79" t="s">
        <v>113</v>
      </c>
      <c r="B108" s="80">
        <f>SUM(B109:B122)</f>
        <v>407</v>
      </c>
      <c r="C108" s="80">
        <f t="shared" ref="C108:M108" si="15">SUM(C109:C122)</f>
        <v>11294</v>
      </c>
      <c r="D108" s="80">
        <f t="shared" si="15"/>
        <v>338</v>
      </c>
      <c r="E108" s="80">
        <f t="shared" si="15"/>
        <v>15618</v>
      </c>
      <c r="F108" s="80">
        <f t="shared" si="15"/>
        <v>511</v>
      </c>
      <c r="G108" s="80">
        <f t="shared" si="15"/>
        <v>6800</v>
      </c>
      <c r="H108" s="80">
        <f t="shared" si="15"/>
        <v>1368</v>
      </c>
      <c r="I108" s="80">
        <f t="shared" si="15"/>
        <v>66467</v>
      </c>
      <c r="J108" s="80">
        <f t="shared" si="15"/>
        <v>867</v>
      </c>
      <c r="K108" s="80">
        <f t="shared" si="15"/>
        <v>12969</v>
      </c>
      <c r="L108" s="80">
        <f t="shared" si="15"/>
        <v>274</v>
      </c>
      <c r="M108" s="80">
        <f t="shared" si="15"/>
        <v>20490</v>
      </c>
    </row>
    <row r="109" spans="1:13" x14ac:dyDescent="0.25">
      <c r="A109" s="86" t="s">
        <v>142</v>
      </c>
      <c r="B109" s="83">
        <v>112</v>
      </c>
      <c r="C109" s="83">
        <f>991+5000+1787</f>
        <v>7778</v>
      </c>
      <c r="D109" s="83">
        <v>79</v>
      </c>
      <c r="E109" s="83">
        <f>1176+6000+4250</f>
        <v>11426</v>
      </c>
      <c r="F109" s="83">
        <v>146</v>
      </c>
      <c r="G109" s="83">
        <f>716+3100+1038</f>
        <v>4854</v>
      </c>
      <c r="H109" s="83">
        <v>352</v>
      </c>
      <c r="I109" s="97">
        <f>6922+21000+12590</f>
        <v>40512</v>
      </c>
      <c r="J109" s="83">
        <v>279</v>
      </c>
      <c r="K109" s="83">
        <f>1028+5153+3000</f>
        <v>9181</v>
      </c>
      <c r="L109" s="83">
        <v>44</v>
      </c>
      <c r="M109" s="84">
        <f>1926+10000+4156</f>
        <v>16082</v>
      </c>
    </row>
    <row r="110" spans="1:13" x14ac:dyDescent="0.25">
      <c r="A110" s="86" t="s">
        <v>143</v>
      </c>
      <c r="B110" s="83">
        <v>25</v>
      </c>
      <c r="C110" s="83">
        <f>2+41+14</f>
        <v>57</v>
      </c>
      <c r="D110" s="83">
        <v>8</v>
      </c>
      <c r="E110" s="83">
        <f>16+17+15</f>
        <v>48</v>
      </c>
      <c r="F110" s="87">
        <v>16</v>
      </c>
      <c r="G110" s="83">
        <f>8+35+9</f>
        <v>52</v>
      </c>
      <c r="H110" s="83">
        <f>76+32</f>
        <v>108</v>
      </c>
      <c r="I110" s="83">
        <v>26</v>
      </c>
      <c r="J110" s="83">
        <v>43</v>
      </c>
      <c r="K110" s="83">
        <f>4+15</f>
        <v>19</v>
      </c>
      <c r="L110" s="83">
        <v>16</v>
      </c>
      <c r="M110" s="84">
        <f>42+12</f>
        <v>54</v>
      </c>
    </row>
    <row r="111" spans="1:13" x14ac:dyDescent="0.25">
      <c r="A111" s="86" t="s">
        <v>144</v>
      </c>
      <c r="B111" s="83">
        <v>198</v>
      </c>
      <c r="C111" s="83">
        <f>353+355+408</f>
        <v>1116</v>
      </c>
      <c r="D111" s="83">
        <v>166</v>
      </c>
      <c r="E111" s="83">
        <f>318+320+421</f>
        <v>1059</v>
      </c>
      <c r="F111" s="83">
        <v>199</v>
      </c>
      <c r="G111" s="83">
        <f>183+108+220</f>
        <v>511</v>
      </c>
      <c r="H111" s="83">
        <v>619</v>
      </c>
      <c r="I111" s="83">
        <f>107+200+587</f>
        <v>894</v>
      </c>
      <c r="J111" s="83">
        <v>277</v>
      </c>
      <c r="K111" s="83">
        <f>85+250+194</f>
        <v>529</v>
      </c>
      <c r="L111" s="83">
        <v>126</v>
      </c>
      <c r="M111" s="84">
        <f>98+219+260</f>
        <v>577</v>
      </c>
    </row>
    <row r="112" spans="1:13" x14ac:dyDescent="0.25">
      <c r="A112" s="86" t="s">
        <v>145</v>
      </c>
      <c r="B112" s="83">
        <v>48</v>
      </c>
      <c r="C112" s="83">
        <f>198+180+162</f>
        <v>540</v>
      </c>
      <c r="D112" s="83">
        <v>57</v>
      </c>
      <c r="E112" s="83">
        <f>145+190+153</f>
        <v>488</v>
      </c>
      <c r="F112" s="83">
        <v>82</v>
      </c>
      <c r="G112" s="83">
        <f>62+75+81</f>
        <v>218</v>
      </c>
      <c r="H112" s="83">
        <v>154</v>
      </c>
      <c r="I112" s="83">
        <f>224+200+208</f>
        <v>632</v>
      </c>
      <c r="J112" s="83">
        <v>142</v>
      </c>
      <c r="K112" s="83">
        <f>105+163+120</f>
        <v>388</v>
      </c>
      <c r="L112" s="83">
        <v>30</v>
      </c>
      <c r="M112" s="84">
        <f>76+90+96</f>
        <v>262</v>
      </c>
    </row>
    <row r="113" spans="1:13" x14ac:dyDescent="0.25">
      <c r="A113" s="86" t="s">
        <v>146</v>
      </c>
      <c r="B113" s="83">
        <v>4</v>
      </c>
      <c r="C113" s="83">
        <f>112+500+193</f>
        <v>805</v>
      </c>
      <c r="D113" s="83">
        <v>0</v>
      </c>
      <c r="E113" s="83">
        <f>205+689+600</f>
        <v>1494</v>
      </c>
      <c r="F113" s="83">
        <v>27</v>
      </c>
      <c r="G113" s="83">
        <f>112+300+186</f>
        <v>598</v>
      </c>
      <c r="H113" s="83">
        <v>4</v>
      </c>
      <c r="I113" s="97">
        <f>788+20000+1124</f>
        <v>21912</v>
      </c>
      <c r="J113" s="83">
        <v>2</v>
      </c>
      <c r="K113" s="83">
        <f>162+300+176</f>
        <v>638</v>
      </c>
      <c r="L113" s="83">
        <v>1</v>
      </c>
      <c r="M113" s="84">
        <f>422+884+630</f>
        <v>1936</v>
      </c>
    </row>
    <row r="114" spans="1:13" x14ac:dyDescent="0.25">
      <c r="A114" s="86" t="s">
        <v>147</v>
      </c>
      <c r="B114" s="83">
        <v>4</v>
      </c>
      <c r="C114" s="83">
        <v>174</v>
      </c>
      <c r="D114" s="83">
        <v>1</v>
      </c>
      <c r="E114" s="83">
        <f>7+100+74</f>
        <v>181</v>
      </c>
      <c r="F114" s="83">
        <v>0</v>
      </c>
      <c r="G114" s="83">
        <f>100+7+32</f>
        <v>139</v>
      </c>
      <c r="H114" s="83">
        <v>27</v>
      </c>
      <c r="I114" s="83">
        <f>348+800+150</f>
        <v>1298</v>
      </c>
      <c r="J114" s="83">
        <v>6</v>
      </c>
      <c r="K114" s="83">
        <f>32+1100+447</f>
        <v>1579</v>
      </c>
      <c r="L114" s="83">
        <v>5</v>
      </c>
      <c r="M114" s="84">
        <f>150+394+290</f>
        <v>834</v>
      </c>
    </row>
    <row r="115" spans="1:13" x14ac:dyDescent="0.25">
      <c r="A115" s="86" t="s">
        <v>148</v>
      </c>
      <c r="B115" s="88">
        <v>0</v>
      </c>
      <c r="C115" s="88">
        <f>8+2+1</f>
        <v>11</v>
      </c>
      <c r="D115" s="88">
        <v>0</v>
      </c>
      <c r="E115" s="88">
        <v>9</v>
      </c>
      <c r="F115" s="88">
        <v>0</v>
      </c>
      <c r="G115" s="88">
        <v>2</v>
      </c>
      <c r="H115" s="88">
        <v>0</v>
      </c>
      <c r="I115" s="88">
        <v>9</v>
      </c>
      <c r="J115" s="88">
        <v>0</v>
      </c>
      <c r="K115" s="88">
        <v>0</v>
      </c>
      <c r="L115" s="88">
        <v>0</v>
      </c>
      <c r="M115" s="98">
        <v>0</v>
      </c>
    </row>
    <row r="116" spans="1:13" x14ac:dyDescent="0.25">
      <c r="A116" s="86" t="s">
        <v>149</v>
      </c>
      <c r="B116" s="88">
        <v>13</v>
      </c>
      <c r="C116" s="88">
        <v>12</v>
      </c>
      <c r="D116" s="88">
        <v>7</v>
      </c>
      <c r="E116" s="88">
        <f>29+8</f>
        <v>37</v>
      </c>
      <c r="F116" s="88">
        <v>11</v>
      </c>
      <c r="G116" s="88">
        <f>66+8</f>
        <v>74</v>
      </c>
      <c r="H116" s="88">
        <v>13</v>
      </c>
      <c r="I116" s="88">
        <v>56</v>
      </c>
      <c r="J116" s="88">
        <v>17</v>
      </c>
      <c r="K116" s="88">
        <v>57</v>
      </c>
      <c r="L116" s="88">
        <v>4</v>
      </c>
      <c r="M116" s="98">
        <f>38+21</f>
        <v>59</v>
      </c>
    </row>
    <row r="117" spans="1:13" x14ac:dyDescent="0.25">
      <c r="A117" s="86" t="s">
        <v>150</v>
      </c>
      <c r="B117" s="88">
        <v>0</v>
      </c>
      <c r="C117" s="88">
        <v>0</v>
      </c>
      <c r="D117" s="88">
        <v>0</v>
      </c>
      <c r="E117" s="88">
        <v>160</v>
      </c>
      <c r="F117" s="88">
        <v>0</v>
      </c>
      <c r="G117" s="88">
        <f>50+56</f>
        <v>106</v>
      </c>
      <c r="H117" s="88">
        <v>0</v>
      </c>
      <c r="I117" s="88">
        <f>89+7</f>
        <v>96</v>
      </c>
      <c r="J117" s="88">
        <v>1</v>
      </c>
      <c r="K117" s="88">
        <f>55+50</f>
        <v>105</v>
      </c>
      <c r="L117" s="88">
        <v>0</v>
      </c>
      <c r="M117" s="98">
        <f>255+82</f>
        <v>337</v>
      </c>
    </row>
    <row r="118" spans="1:13" x14ac:dyDescent="0.25">
      <c r="A118" s="86" t="s">
        <v>151</v>
      </c>
      <c r="B118" s="88">
        <v>2</v>
      </c>
      <c r="C118" s="88">
        <f>19+77</f>
        <v>96</v>
      </c>
      <c r="D118" s="88">
        <v>7</v>
      </c>
      <c r="E118" s="88">
        <f>76</f>
        <v>76</v>
      </c>
      <c r="F118" s="88">
        <v>13</v>
      </c>
      <c r="G118" s="88">
        <f>11+41</f>
        <v>52</v>
      </c>
      <c r="H118" s="88">
        <v>49</v>
      </c>
      <c r="I118" s="88">
        <f>3+40+19</f>
        <v>62</v>
      </c>
      <c r="J118" s="88">
        <v>80</v>
      </c>
      <c r="K118" s="88">
        <f>25+75</f>
        <v>100</v>
      </c>
      <c r="L118" s="88">
        <v>10</v>
      </c>
      <c r="M118" s="98">
        <v>60</v>
      </c>
    </row>
    <row r="119" spans="1:13" x14ac:dyDescent="0.25">
      <c r="A119" s="86" t="s">
        <v>152</v>
      </c>
      <c r="B119" s="88">
        <v>1</v>
      </c>
      <c r="C119" s="88">
        <f>21+100+51</f>
        <v>172</v>
      </c>
      <c r="D119" s="88">
        <v>12</v>
      </c>
      <c r="E119" s="88">
        <f>32+100+31</f>
        <v>163</v>
      </c>
      <c r="F119" s="88">
        <v>12</v>
      </c>
      <c r="G119" s="88">
        <f>5+29+31</f>
        <v>65</v>
      </c>
      <c r="H119" s="88">
        <v>34</v>
      </c>
      <c r="I119" s="88">
        <f>32+190+110</f>
        <v>332</v>
      </c>
      <c r="J119" s="88">
        <v>20</v>
      </c>
      <c r="K119" s="88">
        <f>10+107+71</f>
        <v>188</v>
      </c>
      <c r="L119" s="88">
        <v>38</v>
      </c>
      <c r="M119" s="88">
        <f>54+38</f>
        <v>92</v>
      </c>
    </row>
    <row r="120" spans="1:13" x14ac:dyDescent="0.25">
      <c r="A120" s="86" t="s">
        <v>153</v>
      </c>
      <c r="B120" s="83">
        <v>0</v>
      </c>
      <c r="C120" s="83">
        <v>7</v>
      </c>
      <c r="D120" s="83">
        <v>0</v>
      </c>
      <c r="E120" s="83">
        <f>15+12</f>
        <v>27</v>
      </c>
      <c r="F120" s="83">
        <v>1</v>
      </c>
      <c r="G120" s="83">
        <f>22</f>
        <v>22</v>
      </c>
      <c r="H120" s="83">
        <v>3</v>
      </c>
      <c r="I120" s="83">
        <f>20+22</f>
        <v>42</v>
      </c>
      <c r="J120" s="83">
        <v>0</v>
      </c>
      <c r="K120" s="83">
        <f>15+7+2</f>
        <v>24</v>
      </c>
      <c r="L120" s="83">
        <v>0</v>
      </c>
      <c r="M120" s="84">
        <f>27+11</f>
        <v>38</v>
      </c>
    </row>
    <row r="121" spans="1:13" x14ac:dyDescent="0.25">
      <c r="A121" s="86" t="s">
        <v>154</v>
      </c>
      <c r="B121" s="83">
        <v>0</v>
      </c>
      <c r="C121" s="83">
        <f>131+362+33</f>
        <v>526</v>
      </c>
      <c r="D121" s="83">
        <v>1</v>
      </c>
      <c r="E121" s="83">
        <f>148+280+22</f>
        <v>450</v>
      </c>
      <c r="F121" s="83">
        <v>4</v>
      </c>
      <c r="G121" s="83">
        <f>107</f>
        <v>107</v>
      </c>
      <c r="H121" s="83">
        <v>5</v>
      </c>
      <c r="I121" s="83">
        <f>215+381</f>
        <v>596</v>
      </c>
      <c r="J121" s="83">
        <v>0</v>
      </c>
      <c r="K121" s="83">
        <f>56+105</f>
        <v>161</v>
      </c>
      <c r="L121" s="83">
        <v>0</v>
      </c>
      <c r="M121" s="84">
        <f>68+91</f>
        <v>159</v>
      </c>
    </row>
    <row r="122" spans="1:13" x14ac:dyDescent="0.25">
      <c r="A122" s="86" t="s">
        <v>155</v>
      </c>
      <c r="B122" s="83">
        <v>0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83">
        <v>0</v>
      </c>
      <c r="J122" s="83">
        <v>0</v>
      </c>
      <c r="K122" s="83">
        <v>0</v>
      </c>
      <c r="L122" s="83">
        <v>0</v>
      </c>
      <c r="M122" s="84">
        <v>0</v>
      </c>
    </row>
    <row r="123" spans="1:13" x14ac:dyDescent="0.25">
      <c r="A123" s="79" t="s">
        <v>124</v>
      </c>
      <c r="B123" s="80">
        <f>SUM(B124:B125)</f>
        <v>0</v>
      </c>
      <c r="C123" s="80">
        <f t="shared" ref="C123:M123" si="16">SUM(C124:C125)</f>
        <v>4502</v>
      </c>
      <c r="D123" s="80">
        <f t="shared" si="16"/>
        <v>0</v>
      </c>
      <c r="E123" s="80">
        <f t="shared" si="16"/>
        <v>2255</v>
      </c>
      <c r="F123" s="80">
        <f t="shared" si="16"/>
        <v>0</v>
      </c>
      <c r="G123" s="80">
        <f t="shared" si="16"/>
        <v>1011</v>
      </c>
      <c r="H123" s="80">
        <f t="shared" si="16"/>
        <v>0</v>
      </c>
      <c r="I123" s="80">
        <f t="shared" si="16"/>
        <v>1675</v>
      </c>
      <c r="J123" s="80">
        <f t="shared" si="16"/>
        <v>0</v>
      </c>
      <c r="K123" s="80">
        <f t="shared" si="16"/>
        <v>1458</v>
      </c>
      <c r="L123" s="80">
        <f t="shared" si="16"/>
        <v>0</v>
      </c>
      <c r="M123" s="81">
        <f t="shared" si="16"/>
        <v>1868</v>
      </c>
    </row>
    <row r="124" spans="1:13" x14ac:dyDescent="0.25">
      <c r="A124" s="85" t="s">
        <v>156</v>
      </c>
      <c r="B124" s="83">
        <v>0</v>
      </c>
      <c r="C124" s="83">
        <v>24</v>
      </c>
      <c r="D124" s="83">
        <v>0</v>
      </c>
      <c r="E124" s="83">
        <v>6</v>
      </c>
      <c r="F124" s="83">
        <v>0</v>
      </c>
      <c r="G124" s="83">
        <v>6</v>
      </c>
      <c r="H124" s="83">
        <v>0</v>
      </c>
      <c r="I124" s="83">
        <v>8</v>
      </c>
      <c r="J124" s="83">
        <v>0</v>
      </c>
      <c r="K124" s="83">
        <v>6</v>
      </c>
      <c r="L124" s="83">
        <v>0</v>
      </c>
      <c r="M124" s="84">
        <v>3</v>
      </c>
    </row>
    <row r="125" spans="1:13" ht="15.75" thickBot="1" x14ac:dyDescent="0.3">
      <c r="A125" s="99" t="s">
        <v>157</v>
      </c>
      <c r="B125" s="100">
        <v>0</v>
      </c>
      <c r="C125" s="100">
        <v>4478</v>
      </c>
      <c r="D125" s="100">
        <v>0</v>
      </c>
      <c r="E125" s="100">
        <v>2249</v>
      </c>
      <c r="F125" s="100">
        <v>0</v>
      </c>
      <c r="G125" s="100">
        <v>1005</v>
      </c>
      <c r="H125" s="100">
        <v>0</v>
      </c>
      <c r="I125" s="100">
        <v>1667</v>
      </c>
      <c r="J125" s="100">
        <v>0</v>
      </c>
      <c r="K125" s="100">
        <v>1452</v>
      </c>
      <c r="L125" s="100">
        <v>0</v>
      </c>
      <c r="M125" s="101">
        <v>1865</v>
      </c>
    </row>
    <row r="126" spans="1:13" x14ac:dyDescent="0.25">
      <c r="A126" s="102" t="s">
        <v>128</v>
      </c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t="s">
        <v>158</v>
      </c>
    </row>
    <row r="127" spans="1:13" x14ac:dyDescent="0.25">
      <c r="A127" s="261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</row>
    <row r="128" spans="1:13" ht="15.75" thickBot="1" x14ac:dyDescent="0.3">
      <c r="A128" s="261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</row>
    <row r="129" spans="1:13" x14ac:dyDescent="0.25">
      <c r="A129" s="262" t="s">
        <v>130</v>
      </c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4"/>
    </row>
    <row r="130" spans="1:13" ht="15.75" thickBot="1" x14ac:dyDescent="0.3">
      <c r="A130" s="265"/>
      <c r="B130" s="266"/>
      <c r="C130" s="266"/>
      <c r="D130" s="266"/>
      <c r="E130" s="266"/>
      <c r="F130" s="266"/>
      <c r="G130" s="266"/>
      <c r="H130" s="266"/>
      <c r="I130" s="266"/>
      <c r="J130" s="266"/>
      <c r="K130" s="266"/>
      <c r="L130" s="266"/>
      <c r="M130" s="267"/>
    </row>
    <row r="131" spans="1:13" x14ac:dyDescent="0.25">
      <c r="A131" s="160" t="s">
        <v>86</v>
      </c>
      <c r="B131" s="162" t="s">
        <v>43</v>
      </c>
      <c r="C131" s="162"/>
      <c r="D131" s="162" t="s">
        <v>197</v>
      </c>
      <c r="E131" s="162"/>
      <c r="F131" s="162" t="s">
        <v>45</v>
      </c>
      <c r="G131" s="162"/>
      <c r="H131" s="162" t="s">
        <v>46</v>
      </c>
      <c r="I131" s="162"/>
      <c r="J131" s="162" t="s">
        <v>47</v>
      </c>
      <c r="K131" s="162"/>
      <c r="L131" s="162" t="s">
        <v>48</v>
      </c>
      <c r="M131" s="167"/>
    </row>
    <row r="132" spans="1:13" x14ac:dyDescent="0.25">
      <c r="A132" s="161"/>
      <c r="B132" s="75" t="s">
        <v>88</v>
      </c>
      <c r="C132" s="75" t="s">
        <v>89</v>
      </c>
      <c r="D132" s="75" t="s">
        <v>88</v>
      </c>
      <c r="E132" s="75" t="s">
        <v>89</v>
      </c>
      <c r="F132" s="75" t="s">
        <v>88</v>
      </c>
      <c r="G132" s="75" t="s">
        <v>89</v>
      </c>
      <c r="H132" s="75" t="s">
        <v>88</v>
      </c>
      <c r="I132" s="75" t="s">
        <v>89</v>
      </c>
      <c r="J132" s="75" t="s">
        <v>88</v>
      </c>
      <c r="K132" s="75" t="s">
        <v>89</v>
      </c>
      <c r="L132" s="75" t="s">
        <v>88</v>
      </c>
      <c r="M132" s="76" t="s">
        <v>89</v>
      </c>
    </row>
    <row r="133" spans="1:13" x14ac:dyDescent="0.25">
      <c r="A133" s="77" t="s">
        <v>90</v>
      </c>
      <c r="B133" s="78">
        <f>B134+B142+B147+B162</f>
        <v>734</v>
      </c>
      <c r="C133" s="78">
        <f t="shared" ref="C133:M133" si="17">C134+C142+C147+C162</f>
        <v>137374</v>
      </c>
      <c r="D133" s="78">
        <f t="shared" si="17"/>
        <v>1194</v>
      </c>
      <c r="E133" s="78">
        <f t="shared" si="17"/>
        <v>129110</v>
      </c>
      <c r="F133" s="78">
        <f t="shared" si="17"/>
        <v>3064</v>
      </c>
      <c r="G133" s="78">
        <f t="shared" si="17"/>
        <v>78234</v>
      </c>
      <c r="H133" s="78">
        <f t="shared" si="17"/>
        <v>3196</v>
      </c>
      <c r="I133" s="78">
        <f t="shared" si="17"/>
        <v>91698</v>
      </c>
      <c r="J133" s="78">
        <f t="shared" si="17"/>
        <v>2864</v>
      </c>
      <c r="K133" s="78">
        <f t="shared" si="17"/>
        <v>91821</v>
      </c>
      <c r="L133" s="78">
        <f t="shared" si="17"/>
        <v>1295</v>
      </c>
      <c r="M133" s="78">
        <f t="shared" si="17"/>
        <v>91965</v>
      </c>
    </row>
    <row r="134" spans="1:13" x14ac:dyDescent="0.25">
      <c r="A134" s="79" t="s">
        <v>96</v>
      </c>
      <c r="B134" s="80">
        <f>SUM(B135:B141)</f>
        <v>417</v>
      </c>
      <c r="C134" s="80">
        <f t="shared" ref="C134:M134" si="18">SUM(C135:C141)</f>
        <v>97076</v>
      </c>
      <c r="D134" s="80">
        <f t="shared" si="18"/>
        <v>578</v>
      </c>
      <c r="E134" s="80">
        <f t="shared" si="18"/>
        <v>70793</v>
      </c>
      <c r="F134" s="80">
        <f t="shared" si="18"/>
        <v>626</v>
      </c>
      <c r="G134" s="80">
        <f t="shared" si="18"/>
        <v>50268</v>
      </c>
      <c r="H134" s="80">
        <f t="shared" si="18"/>
        <v>1481</v>
      </c>
      <c r="I134" s="80">
        <f t="shared" si="18"/>
        <v>55084</v>
      </c>
      <c r="J134" s="80">
        <f t="shared" si="18"/>
        <v>1496</v>
      </c>
      <c r="K134" s="80">
        <f t="shared" si="18"/>
        <v>50155</v>
      </c>
      <c r="L134" s="80">
        <f t="shared" si="18"/>
        <v>647</v>
      </c>
      <c r="M134" s="81">
        <f t="shared" si="18"/>
        <v>50891</v>
      </c>
    </row>
    <row r="135" spans="1:13" x14ac:dyDescent="0.25">
      <c r="A135" s="254" t="s">
        <v>198</v>
      </c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5"/>
    </row>
    <row r="136" spans="1:13" x14ac:dyDescent="0.25">
      <c r="A136" s="89" t="s">
        <v>199</v>
      </c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5"/>
    </row>
    <row r="137" spans="1:13" x14ac:dyDescent="0.25">
      <c r="A137" s="89" t="s">
        <v>99</v>
      </c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5"/>
    </row>
    <row r="138" spans="1:13" x14ac:dyDescent="0.25">
      <c r="A138" s="89" t="s">
        <v>200</v>
      </c>
      <c r="B138" s="252">
        <v>85</v>
      </c>
      <c r="C138" s="252">
        <v>28650</v>
      </c>
      <c r="D138" s="252">
        <v>86</v>
      </c>
      <c r="E138" s="252">
        <v>31530</v>
      </c>
      <c r="F138" s="252">
        <v>49</v>
      </c>
      <c r="G138" s="252">
        <v>20830</v>
      </c>
      <c r="H138" s="252">
        <v>79</v>
      </c>
      <c r="I138" s="252">
        <v>26577</v>
      </c>
      <c r="J138" s="252">
        <v>79</v>
      </c>
      <c r="K138" s="252">
        <v>26270</v>
      </c>
      <c r="L138" s="252">
        <v>79</v>
      </c>
      <c r="M138" s="253">
        <v>26270</v>
      </c>
    </row>
    <row r="139" spans="1:13" x14ac:dyDescent="0.25">
      <c r="A139" s="89" t="s">
        <v>135</v>
      </c>
      <c r="B139" s="252">
        <v>15</v>
      </c>
      <c r="C139" s="252">
        <v>8394</v>
      </c>
      <c r="D139" s="252">
        <v>32</v>
      </c>
      <c r="E139" s="252">
        <v>7790</v>
      </c>
      <c r="F139" s="252">
        <v>52</v>
      </c>
      <c r="G139" s="252">
        <v>7177</v>
      </c>
      <c r="H139" s="255">
        <v>254</v>
      </c>
      <c r="I139" s="255">
        <v>7868</v>
      </c>
      <c r="J139" s="255">
        <v>169</v>
      </c>
      <c r="K139" s="255">
        <v>6644</v>
      </c>
      <c r="L139" s="252">
        <v>115</v>
      </c>
      <c r="M139" s="253">
        <v>7836</v>
      </c>
    </row>
    <row r="140" spans="1:13" x14ac:dyDescent="0.25">
      <c r="A140" s="89" t="s">
        <v>201</v>
      </c>
      <c r="B140" s="252">
        <v>4</v>
      </c>
      <c r="C140" s="252">
        <v>25665</v>
      </c>
      <c r="D140" s="252">
        <v>0</v>
      </c>
      <c r="E140" s="252">
        <v>11969</v>
      </c>
      <c r="F140" s="252">
        <v>9</v>
      </c>
      <c r="G140" s="252">
        <v>8119</v>
      </c>
      <c r="H140" s="255">
        <v>8</v>
      </c>
      <c r="I140" s="255">
        <v>6558</v>
      </c>
      <c r="J140" s="255">
        <v>7</v>
      </c>
      <c r="K140" s="255">
        <v>4894</v>
      </c>
      <c r="L140" s="252">
        <v>12</v>
      </c>
      <c r="M140" s="253">
        <v>4212</v>
      </c>
    </row>
    <row r="141" spans="1:13" x14ac:dyDescent="0.25">
      <c r="A141" s="89" t="s">
        <v>136</v>
      </c>
      <c r="B141" s="252">
        <v>313</v>
      </c>
      <c r="C141" s="252">
        <v>34367</v>
      </c>
      <c r="D141" s="252">
        <v>460</v>
      </c>
      <c r="E141" s="252">
        <v>19504</v>
      </c>
      <c r="F141" s="252">
        <v>516</v>
      </c>
      <c r="G141" s="252">
        <v>14142</v>
      </c>
      <c r="H141" s="252">
        <v>1140</v>
      </c>
      <c r="I141" s="252">
        <v>14081</v>
      </c>
      <c r="J141" s="252">
        <v>1241</v>
      </c>
      <c r="K141" s="252">
        <v>12347</v>
      </c>
      <c r="L141" s="252">
        <v>441</v>
      </c>
      <c r="M141" s="253">
        <v>12573</v>
      </c>
    </row>
    <row r="142" spans="1:13" x14ac:dyDescent="0.25">
      <c r="A142" s="79" t="s">
        <v>104</v>
      </c>
      <c r="B142" s="80">
        <f>SUM(B143:B146)</f>
        <v>47</v>
      </c>
      <c r="C142" s="80">
        <f t="shared" ref="C142:M142" si="19">SUM(C143:C146)</f>
        <v>16442</v>
      </c>
      <c r="D142" s="80">
        <f t="shared" si="19"/>
        <v>35</v>
      </c>
      <c r="E142" s="80">
        <f t="shared" si="19"/>
        <v>34323</v>
      </c>
      <c r="F142" s="80">
        <f t="shared" si="19"/>
        <v>1509</v>
      </c>
      <c r="G142" s="80">
        <f t="shared" si="19"/>
        <v>16428</v>
      </c>
      <c r="H142" s="80">
        <f t="shared" si="19"/>
        <v>368</v>
      </c>
      <c r="I142" s="80">
        <f t="shared" si="19"/>
        <v>23655</v>
      </c>
      <c r="J142" s="80">
        <f t="shared" si="19"/>
        <v>522</v>
      </c>
      <c r="K142" s="80">
        <f t="shared" si="19"/>
        <v>26413</v>
      </c>
      <c r="L142" s="80">
        <f t="shared" si="19"/>
        <v>262</v>
      </c>
      <c r="M142" s="81">
        <f t="shared" si="19"/>
        <v>23631</v>
      </c>
    </row>
    <row r="143" spans="1:13" x14ac:dyDescent="0.25">
      <c r="A143" s="89" t="s">
        <v>138</v>
      </c>
      <c r="B143" s="252">
        <v>5</v>
      </c>
      <c r="C143" s="252">
        <f>SUM(1160+610)</f>
        <v>1770</v>
      </c>
      <c r="D143" s="252">
        <v>5</v>
      </c>
      <c r="E143" s="252">
        <f>3645+1370</f>
        <v>5015</v>
      </c>
      <c r="F143" s="252">
        <v>1375</v>
      </c>
      <c r="G143" s="252">
        <v>3645</v>
      </c>
      <c r="H143" s="252">
        <v>12</v>
      </c>
      <c r="I143" s="252">
        <v>1910</v>
      </c>
      <c r="J143" s="252">
        <v>58</v>
      </c>
      <c r="K143" s="252">
        <v>1970</v>
      </c>
      <c r="L143" s="252">
        <v>36</v>
      </c>
      <c r="M143" s="253">
        <f>1440+980</f>
        <v>2420</v>
      </c>
    </row>
    <row r="144" spans="1:13" x14ac:dyDescent="0.25">
      <c r="A144" s="89" t="s">
        <v>139</v>
      </c>
      <c r="B144" s="252">
        <v>31</v>
      </c>
      <c r="C144" s="252">
        <v>3480</v>
      </c>
      <c r="D144" s="252">
        <v>17</v>
      </c>
      <c r="E144" s="252">
        <v>5800</v>
      </c>
      <c r="F144" s="252">
        <v>98</v>
      </c>
      <c r="G144" s="252">
        <v>3600</v>
      </c>
      <c r="H144" s="252">
        <v>229</v>
      </c>
      <c r="I144" s="252">
        <v>5100</v>
      </c>
      <c r="J144" s="252">
        <v>264</v>
      </c>
      <c r="K144" s="252">
        <v>6200</v>
      </c>
      <c r="L144" s="252">
        <v>178</v>
      </c>
      <c r="M144" s="253">
        <v>6300</v>
      </c>
    </row>
    <row r="145" spans="1:13" x14ac:dyDescent="0.25">
      <c r="A145" s="89" t="s">
        <v>202</v>
      </c>
      <c r="B145" s="252">
        <v>4</v>
      </c>
      <c r="C145" s="252">
        <v>5052</v>
      </c>
      <c r="D145" s="252">
        <v>9</v>
      </c>
      <c r="E145" s="252">
        <v>2700</v>
      </c>
      <c r="F145" s="252">
        <v>35</v>
      </c>
      <c r="G145" s="252">
        <v>2770</v>
      </c>
      <c r="H145" s="252">
        <v>127</v>
      </c>
      <c r="I145" s="252">
        <v>10900</v>
      </c>
      <c r="J145" s="252">
        <v>196</v>
      </c>
      <c r="K145" s="252">
        <v>7740</v>
      </c>
      <c r="L145" s="252">
        <v>48</v>
      </c>
      <c r="M145" s="253">
        <v>8425</v>
      </c>
    </row>
    <row r="146" spans="1:13" x14ac:dyDescent="0.25">
      <c r="A146" s="89" t="s">
        <v>141</v>
      </c>
      <c r="B146" s="252">
        <v>7</v>
      </c>
      <c r="C146" s="252">
        <f>SUM(2033+3807+291+9)</f>
        <v>6140</v>
      </c>
      <c r="D146" s="252">
        <v>4</v>
      </c>
      <c r="E146" s="252">
        <f>6689+13378+712+29</f>
        <v>20808</v>
      </c>
      <c r="F146" s="252">
        <v>1</v>
      </c>
      <c r="G146" s="252">
        <v>6413</v>
      </c>
      <c r="H146" s="252">
        <v>0</v>
      </c>
      <c r="I146" s="252">
        <f>2119+3327+287+12</f>
        <v>5745</v>
      </c>
      <c r="J146" s="252">
        <v>4</v>
      </c>
      <c r="K146" s="252">
        <f>3327+6683+475+18</f>
        <v>10503</v>
      </c>
      <c r="L146" s="252">
        <v>0</v>
      </c>
      <c r="M146" s="253">
        <f>2319+3517+607+43</f>
        <v>6486</v>
      </c>
    </row>
    <row r="147" spans="1:13" x14ac:dyDescent="0.25">
      <c r="A147" s="79" t="s">
        <v>113</v>
      </c>
      <c r="B147" s="80">
        <f>SUM(B148:B161)</f>
        <v>270</v>
      </c>
      <c r="C147" s="80">
        <f t="shared" ref="C147:M147" si="20">SUM(C148:C161)</f>
        <v>8014</v>
      </c>
      <c r="D147" s="80">
        <f t="shared" si="20"/>
        <v>581</v>
      </c>
      <c r="E147" s="80">
        <f t="shared" si="20"/>
        <v>17519</v>
      </c>
      <c r="F147" s="80">
        <f t="shared" si="20"/>
        <v>929</v>
      </c>
      <c r="G147" s="80">
        <f t="shared" si="20"/>
        <v>10750</v>
      </c>
      <c r="H147" s="80">
        <f t="shared" si="20"/>
        <v>1347</v>
      </c>
      <c r="I147" s="80">
        <f t="shared" si="20"/>
        <v>11622</v>
      </c>
      <c r="J147" s="80">
        <f t="shared" si="20"/>
        <v>846</v>
      </c>
      <c r="K147" s="80">
        <f t="shared" si="20"/>
        <v>14602</v>
      </c>
      <c r="L147" s="80">
        <f t="shared" si="20"/>
        <v>386</v>
      </c>
      <c r="M147" s="80">
        <f t="shared" si="20"/>
        <v>16248</v>
      </c>
    </row>
    <row r="148" spans="1:13" x14ac:dyDescent="0.25">
      <c r="A148" s="89" t="s">
        <v>142</v>
      </c>
      <c r="B148" s="83">
        <v>45</v>
      </c>
      <c r="C148" s="83">
        <f>SUM(348+4000+1041)</f>
        <v>5389</v>
      </c>
      <c r="D148" s="83">
        <v>180</v>
      </c>
      <c r="E148" s="83">
        <f>1570+8000+4104</f>
        <v>13674</v>
      </c>
      <c r="F148" s="83">
        <v>215</v>
      </c>
      <c r="G148" s="83">
        <f>868+5000+2410</f>
        <v>8278</v>
      </c>
      <c r="H148" s="83">
        <v>388</v>
      </c>
      <c r="I148" s="83">
        <f>958+5000+2145</f>
        <v>8103</v>
      </c>
      <c r="J148" s="83">
        <v>262</v>
      </c>
      <c r="K148" s="83">
        <f>1351+6000+2888</f>
        <v>10239</v>
      </c>
      <c r="L148" s="83">
        <v>97</v>
      </c>
      <c r="M148" s="84">
        <f>2200+5189+3000</f>
        <v>10389</v>
      </c>
    </row>
    <row r="149" spans="1:13" x14ac:dyDescent="0.25">
      <c r="A149" s="89" t="s">
        <v>143</v>
      </c>
      <c r="B149" s="83">
        <v>17</v>
      </c>
      <c r="C149" s="83">
        <f>SUM(3+28)</f>
        <v>31</v>
      </c>
      <c r="D149" s="83">
        <v>58</v>
      </c>
      <c r="E149" s="83">
        <f>10+11+8</f>
        <v>29</v>
      </c>
      <c r="F149" s="83">
        <v>57</v>
      </c>
      <c r="G149" s="83">
        <v>22</v>
      </c>
      <c r="H149" s="83">
        <v>67</v>
      </c>
      <c r="I149" s="83">
        <v>38</v>
      </c>
      <c r="J149" s="83">
        <v>50</v>
      </c>
      <c r="K149" s="83">
        <f>24+11</f>
        <v>35</v>
      </c>
      <c r="L149" s="83">
        <v>20</v>
      </c>
      <c r="M149" s="84">
        <f>20+50+40</f>
        <v>110</v>
      </c>
    </row>
    <row r="150" spans="1:13" x14ac:dyDescent="0.25">
      <c r="A150" s="89" t="s">
        <v>144</v>
      </c>
      <c r="B150" s="83">
        <v>142</v>
      </c>
      <c r="C150" s="83">
        <f>SUM(177+220+299)</f>
        <v>696</v>
      </c>
      <c r="D150" s="83">
        <v>214</v>
      </c>
      <c r="E150" s="83">
        <f>123+237+280</f>
        <v>640</v>
      </c>
      <c r="F150" s="83">
        <v>314</v>
      </c>
      <c r="G150" s="83">
        <f>97+140+233</f>
        <v>470</v>
      </c>
      <c r="H150" s="83">
        <v>599</v>
      </c>
      <c r="I150" s="83">
        <f>103+90+355</f>
        <v>548</v>
      </c>
      <c r="J150" s="83">
        <v>366</v>
      </c>
      <c r="K150" s="83">
        <f>408+266+229</f>
        <v>903</v>
      </c>
      <c r="L150" s="83">
        <v>135</v>
      </c>
      <c r="M150" s="84">
        <f>573+248+560</f>
        <v>1381</v>
      </c>
    </row>
    <row r="151" spans="1:13" x14ac:dyDescent="0.25">
      <c r="A151" s="86" t="s">
        <v>145</v>
      </c>
      <c r="B151" s="83">
        <v>42</v>
      </c>
      <c r="C151" s="83">
        <f>SUM(75+96+70)</f>
        <v>241</v>
      </c>
      <c r="D151" s="83">
        <v>92</v>
      </c>
      <c r="E151" s="83">
        <f>79+95+79</f>
        <v>253</v>
      </c>
      <c r="F151" s="83">
        <v>145</v>
      </c>
      <c r="G151" s="83">
        <f>44+133+120</f>
        <v>297</v>
      </c>
      <c r="H151" s="83">
        <v>119</v>
      </c>
      <c r="I151" s="83">
        <f>165+150+120</f>
        <v>435</v>
      </c>
      <c r="J151" s="83">
        <v>79</v>
      </c>
      <c r="K151" s="83">
        <f>94+140+126</f>
        <v>360</v>
      </c>
      <c r="L151" s="83">
        <v>76</v>
      </c>
      <c r="M151" s="83">
        <f>222+300+225</f>
        <v>747</v>
      </c>
    </row>
    <row r="152" spans="1:13" x14ac:dyDescent="0.25">
      <c r="A152" s="89" t="s">
        <v>146</v>
      </c>
      <c r="B152" s="83">
        <v>2</v>
      </c>
      <c r="C152" s="83">
        <f>SUM(84+250+233)</f>
        <v>567</v>
      </c>
      <c r="D152" s="83">
        <v>0</v>
      </c>
      <c r="E152" s="83">
        <f>292+802+301</f>
        <v>1395</v>
      </c>
      <c r="F152" s="83">
        <v>3</v>
      </c>
      <c r="G152" s="83">
        <f>126+300+301</f>
        <v>727</v>
      </c>
      <c r="H152" s="83">
        <v>2</v>
      </c>
      <c r="I152" s="83">
        <f>500+517+174</f>
        <v>1191</v>
      </c>
      <c r="J152" s="83">
        <v>0</v>
      </c>
      <c r="K152" s="83">
        <f>222+1000+345</f>
        <v>1567</v>
      </c>
      <c r="L152" s="83">
        <v>11</v>
      </c>
      <c r="M152" s="84">
        <f>342+678+670</f>
        <v>1690</v>
      </c>
    </row>
    <row r="153" spans="1:13" x14ac:dyDescent="0.25">
      <c r="A153" s="268" t="s">
        <v>147</v>
      </c>
      <c r="B153" s="83">
        <v>2</v>
      </c>
      <c r="C153" s="83">
        <f>SUM(24+200+115)</f>
        <v>339</v>
      </c>
      <c r="D153" s="83">
        <v>4</v>
      </c>
      <c r="E153" s="83">
        <f>162+300+253</f>
        <v>715</v>
      </c>
      <c r="F153" s="83">
        <v>40</v>
      </c>
      <c r="G153" s="83">
        <f>226</f>
        <v>226</v>
      </c>
      <c r="H153" s="83">
        <v>16</v>
      </c>
      <c r="I153" s="83">
        <f>139+135</f>
        <v>274</v>
      </c>
      <c r="J153" s="83">
        <v>0</v>
      </c>
      <c r="K153" s="83">
        <f>13+174+170</f>
        <v>357</v>
      </c>
      <c r="L153" s="83">
        <v>0</v>
      </c>
      <c r="M153" s="84">
        <f>134+240+239</f>
        <v>613</v>
      </c>
    </row>
    <row r="154" spans="1:13" x14ac:dyDescent="0.25">
      <c r="A154" s="268" t="s">
        <v>148</v>
      </c>
      <c r="B154" s="83">
        <v>0</v>
      </c>
      <c r="C154" s="83">
        <v>0</v>
      </c>
      <c r="D154" s="83">
        <v>0</v>
      </c>
      <c r="E154" s="83">
        <v>0</v>
      </c>
      <c r="F154" s="83">
        <v>0</v>
      </c>
      <c r="G154" s="83">
        <v>0</v>
      </c>
      <c r="H154" s="83">
        <v>0</v>
      </c>
      <c r="I154" s="83">
        <v>10</v>
      </c>
      <c r="J154" s="83">
        <v>0</v>
      </c>
      <c r="K154" s="83">
        <f>11+4+2</f>
        <v>17</v>
      </c>
      <c r="L154" s="83">
        <v>0</v>
      </c>
      <c r="M154" s="83">
        <f>6+13</f>
        <v>19</v>
      </c>
    </row>
    <row r="155" spans="1:13" x14ac:dyDescent="0.25">
      <c r="A155" s="89" t="s">
        <v>149</v>
      </c>
      <c r="B155" s="83">
        <v>8</v>
      </c>
      <c r="C155" s="83">
        <f>SUM(166+20)</f>
        <v>186</v>
      </c>
      <c r="D155" s="269">
        <v>3</v>
      </c>
      <c r="E155" s="269">
        <f>268+17+5</f>
        <v>290</v>
      </c>
      <c r="F155" s="269">
        <v>41</v>
      </c>
      <c r="G155" s="269">
        <f>188+12</f>
        <v>200</v>
      </c>
      <c r="H155" s="269">
        <v>42</v>
      </c>
      <c r="I155" s="269">
        <f>201+19</f>
        <v>220</v>
      </c>
      <c r="J155" s="269">
        <v>29</v>
      </c>
      <c r="K155" s="269">
        <f>168+10</f>
        <v>178</v>
      </c>
      <c r="L155" s="269">
        <v>7</v>
      </c>
      <c r="M155" s="270">
        <f>160+23</f>
        <v>183</v>
      </c>
    </row>
    <row r="156" spans="1:13" x14ac:dyDescent="0.25">
      <c r="A156" s="89" t="s">
        <v>150</v>
      </c>
      <c r="B156" s="83">
        <v>0</v>
      </c>
      <c r="C156" s="83">
        <f>SUM(79+99+32)</f>
        <v>210</v>
      </c>
      <c r="D156" s="269">
        <v>5</v>
      </c>
      <c r="E156" s="269">
        <f>86+37+0</f>
        <v>123</v>
      </c>
      <c r="F156" s="269">
        <v>13</v>
      </c>
      <c r="G156" s="269">
        <f>80+127</f>
        <v>207</v>
      </c>
      <c r="H156" s="269">
        <v>7</v>
      </c>
      <c r="I156" s="269">
        <f>124+171</f>
        <v>295</v>
      </c>
      <c r="J156" s="269">
        <v>0</v>
      </c>
      <c r="K156" s="269">
        <v>197</v>
      </c>
      <c r="L156" s="269">
        <v>3</v>
      </c>
      <c r="M156" s="270">
        <f>48+84</f>
        <v>132</v>
      </c>
    </row>
    <row r="157" spans="1:13" x14ac:dyDescent="0.25">
      <c r="A157" s="89" t="s">
        <v>151</v>
      </c>
      <c r="B157" s="83">
        <v>2</v>
      </c>
      <c r="C157" s="83">
        <f>SUM(15+50+13)</f>
        <v>78</v>
      </c>
      <c r="D157" s="269">
        <v>21</v>
      </c>
      <c r="E157" s="269">
        <f>45+7</f>
        <v>52</v>
      </c>
      <c r="F157" s="269">
        <v>64</v>
      </c>
      <c r="G157" s="269">
        <f>47+37</f>
        <v>84</v>
      </c>
      <c r="H157" s="269">
        <v>68</v>
      </c>
      <c r="I157" s="269">
        <f>37+59</f>
        <v>96</v>
      </c>
      <c r="J157" s="269">
        <v>48</v>
      </c>
      <c r="K157" s="269">
        <f>29+71</f>
        <v>100</v>
      </c>
      <c r="L157" s="269">
        <v>16</v>
      </c>
      <c r="M157" s="270">
        <f>116+32</f>
        <v>148</v>
      </c>
    </row>
    <row r="158" spans="1:13" x14ac:dyDescent="0.25">
      <c r="A158" s="89" t="s">
        <v>152</v>
      </c>
      <c r="B158" s="83">
        <v>3</v>
      </c>
      <c r="C158" s="83">
        <f>SUM(9+67+46)</f>
        <v>122</v>
      </c>
      <c r="D158" s="83">
        <v>1</v>
      </c>
      <c r="E158" s="83">
        <f>5+100+52</f>
        <v>157</v>
      </c>
      <c r="F158" s="83">
        <v>14</v>
      </c>
      <c r="G158" s="83">
        <f>7+35+80</f>
        <v>122</v>
      </c>
      <c r="H158" s="83">
        <v>39</v>
      </c>
      <c r="I158" s="83">
        <f>62+80+28</f>
        <v>170</v>
      </c>
      <c r="J158" s="83">
        <v>5</v>
      </c>
      <c r="K158" s="83">
        <f>14+150+59</f>
        <v>223</v>
      </c>
      <c r="L158" s="83">
        <v>21</v>
      </c>
      <c r="M158" s="83">
        <f>58+61+87</f>
        <v>206</v>
      </c>
    </row>
    <row r="159" spans="1:13" x14ac:dyDescent="0.25">
      <c r="A159" s="89" t="s">
        <v>153</v>
      </c>
      <c r="B159" s="83">
        <v>0</v>
      </c>
      <c r="C159" s="83">
        <f>SUM(37+23)</f>
        <v>60</v>
      </c>
      <c r="D159" s="269">
        <v>2</v>
      </c>
      <c r="E159" s="269">
        <f>0+20+11</f>
        <v>31</v>
      </c>
      <c r="F159" s="269">
        <v>23</v>
      </c>
      <c r="G159" s="269">
        <f>23+13</f>
        <v>36</v>
      </c>
      <c r="H159" s="269">
        <v>0</v>
      </c>
      <c r="I159" s="269">
        <f>19+8</f>
        <v>27</v>
      </c>
      <c r="J159" s="269">
        <v>1</v>
      </c>
      <c r="K159" s="269">
        <f>13+27</f>
        <v>40</v>
      </c>
      <c r="L159" s="269">
        <v>0</v>
      </c>
      <c r="M159" s="270">
        <f>8+15</f>
        <v>23</v>
      </c>
    </row>
    <row r="160" spans="1:13" x14ac:dyDescent="0.25">
      <c r="A160" s="89" t="s">
        <v>154</v>
      </c>
      <c r="B160" s="269">
        <v>7</v>
      </c>
      <c r="C160" s="269">
        <f>SUM(39+56)</f>
        <v>95</v>
      </c>
      <c r="D160" s="269">
        <v>1</v>
      </c>
      <c r="E160" s="269">
        <f>58+80+22</f>
        <v>160</v>
      </c>
      <c r="F160" s="269">
        <v>0</v>
      </c>
      <c r="G160" s="269">
        <f>39+42</f>
        <v>81</v>
      </c>
      <c r="H160" s="269">
        <v>0</v>
      </c>
      <c r="I160" s="269">
        <f>74+91+50</f>
        <v>215</v>
      </c>
      <c r="J160" s="269">
        <v>6</v>
      </c>
      <c r="K160" s="269">
        <f>203+170+13</f>
        <v>386</v>
      </c>
      <c r="L160" s="269">
        <v>0</v>
      </c>
      <c r="M160" s="270">
        <f>240+337+30</f>
        <v>607</v>
      </c>
    </row>
    <row r="161" spans="1:13" x14ac:dyDescent="0.25">
      <c r="A161" s="86" t="s">
        <v>155</v>
      </c>
      <c r="B161" s="83">
        <v>0</v>
      </c>
      <c r="C161" s="83">
        <v>0</v>
      </c>
      <c r="D161" s="83">
        <v>0</v>
      </c>
      <c r="E161" s="83">
        <v>0</v>
      </c>
      <c r="F161" s="83">
        <v>0</v>
      </c>
      <c r="G161" s="83">
        <v>0</v>
      </c>
      <c r="H161" s="83">
        <v>0</v>
      </c>
      <c r="I161" s="83">
        <v>0</v>
      </c>
      <c r="J161" s="83">
        <v>0</v>
      </c>
      <c r="K161" s="83">
        <v>0</v>
      </c>
      <c r="L161" s="83">
        <v>0</v>
      </c>
      <c r="M161" s="84">
        <v>0</v>
      </c>
    </row>
    <row r="162" spans="1:13" x14ac:dyDescent="0.25">
      <c r="A162" s="271" t="s">
        <v>124</v>
      </c>
      <c r="B162" s="80">
        <f>SUM(B163:B164)</f>
        <v>0</v>
      </c>
      <c r="C162" s="80">
        <f t="shared" ref="C162:M162" si="21">SUM(C163:C164)</f>
        <v>15842</v>
      </c>
      <c r="D162" s="80">
        <f t="shared" si="21"/>
        <v>0</v>
      </c>
      <c r="E162" s="80">
        <f t="shared" si="21"/>
        <v>6475</v>
      </c>
      <c r="F162" s="80">
        <f t="shared" si="21"/>
        <v>0</v>
      </c>
      <c r="G162" s="80">
        <f t="shared" si="21"/>
        <v>788</v>
      </c>
      <c r="H162" s="80">
        <f t="shared" si="21"/>
        <v>0</v>
      </c>
      <c r="I162" s="80">
        <f t="shared" si="21"/>
        <v>1337</v>
      </c>
      <c r="J162" s="80">
        <f t="shared" si="21"/>
        <v>0</v>
      </c>
      <c r="K162" s="80">
        <f t="shared" si="21"/>
        <v>651</v>
      </c>
      <c r="L162" s="80">
        <f t="shared" si="21"/>
        <v>0</v>
      </c>
      <c r="M162" s="81">
        <f t="shared" si="21"/>
        <v>1195</v>
      </c>
    </row>
    <row r="163" spans="1:13" x14ac:dyDescent="0.25">
      <c r="A163" s="272" t="s">
        <v>156</v>
      </c>
      <c r="B163" s="252">
        <v>0</v>
      </c>
      <c r="C163" s="252">
        <v>24</v>
      </c>
      <c r="D163" s="252">
        <v>0</v>
      </c>
      <c r="E163" s="252">
        <v>25</v>
      </c>
      <c r="F163" s="252">
        <v>0</v>
      </c>
      <c r="G163" s="252">
        <v>13</v>
      </c>
      <c r="H163" s="252">
        <v>0</v>
      </c>
      <c r="I163" s="252">
        <v>7</v>
      </c>
      <c r="J163" s="252">
        <v>0</v>
      </c>
      <c r="K163" s="252">
        <v>11</v>
      </c>
      <c r="L163" s="252">
        <v>0</v>
      </c>
      <c r="M163" s="253">
        <v>75</v>
      </c>
    </row>
    <row r="164" spans="1:13" ht="15.75" thickBot="1" x14ac:dyDescent="0.3">
      <c r="A164" s="273" t="s">
        <v>157</v>
      </c>
      <c r="B164" s="274">
        <v>0</v>
      </c>
      <c r="C164" s="274">
        <v>15818</v>
      </c>
      <c r="D164" s="274">
        <v>0</v>
      </c>
      <c r="E164" s="274">
        <v>6450</v>
      </c>
      <c r="F164" s="274">
        <v>0</v>
      </c>
      <c r="G164" s="274">
        <v>775</v>
      </c>
      <c r="H164" s="274">
        <v>0</v>
      </c>
      <c r="I164" s="274">
        <v>1330</v>
      </c>
      <c r="J164" s="274">
        <v>0</v>
      </c>
      <c r="K164" s="274">
        <v>640</v>
      </c>
      <c r="L164" s="274">
        <v>0</v>
      </c>
      <c r="M164" s="275">
        <v>1120</v>
      </c>
    </row>
    <row r="165" spans="1:13" x14ac:dyDescent="0.25">
      <c r="A165" s="102" t="s">
        <v>128</v>
      </c>
      <c r="I165" s="261" t="s">
        <v>203</v>
      </c>
    </row>
    <row r="166" spans="1:13" x14ac:dyDescent="0.25">
      <c r="A166" s="276" t="s">
        <v>204</v>
      </c>
      <c r="G166" s="276" t="s">
        <v>205</v>
      </c>
    </row>
  </sheetData>
  <mergeCells count="33">
    <mergeCell ref="A129:M130"/>
    <mergeCell ref="A131:A132"/>
    <mergeCell ref="B131:C131"/>
    <mergeCell ref="D131:E131"/>
    <mergeCell ref="F131:G131"/>
    <mergeCell ref="H131:I131"/>
    <mergeCell ref="J131:K131"/>
    <mergeCell ref="L131:M131"/>
    <mergeCell ref="A90:M91"/>
    <mergeCell ref="A92:A93"/>
    <mergeCell ref="B92:C92"/>
    <mergeCell ref="D92:E92"/>
    <mergeCell ref="F92:G92"/>
    <mergeCell ref="H92:I92"/>
    <mergeCell ref="J92:K92"/>
    <mergeCell ref="L92:M92"/>
    <mergeCell ref="F26:G26"/>
    <mergeCell ref="A47:M48"/>
    <mergeCell ref="A49:A50"/>
    <mergeCell ref="B49:C49"/>
    <mergeCell ref="D49:E49"/>
    <mergeCell ref="F49:G49"/>
    <mergeCell ref="H49:I49"/>
    <mergeCell ref="J49:K49"/>
    <mergeCell ref="L49:M49"/>
    <mergeCell ref="A1:M2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Accidents</vt:lpstr>
      <vt:lpstr>Immunization</vt:lpstr>
      <vt:lpstr>T.B</vt:lpstr>
      <vt:lpstr>Veterinary</vt:lpstr>
      <vt:lpstr>Telecom</vt:lpstr>
      <vt:lpstr>Museum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2012-07-31T15:33:32Z</dcterms:modified>
</cp:coreProperties>
</file>