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5 May 2026\21.05.2026\"/>
    </mc:Choice>
  </mc:AlternateContent>
  <xr:revisionPtr revIDLastSave="0" documentId="13_ncr:1_{407E113B-B796-4745-A48E-FDBD27832A6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6" i="2"/>
  <c r="L46" i="2"/>
  <c r="K46" i="2"/>
  <c r="J46" i="2"/>
  <c r="M33" i="2"/>
  <c r="M64" i="2" s="1"/>
  <c r="L33" i="2"/>
  <c r="L64" i="2" s="1"/>
  <c r="K33" i="2"/>
  <c r="K64" i="2" s="1"/>
  <c r="J33" i="2"/>
  <c r="J64" i="2" s="1"/>
  <c r="H43" i="1"/>
  <c r="G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E37" i="1"/>
  <c r="D37" i="1"/>
  <c r="H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3" i="3" l="1"/>
  <c r="B86" i="3" l="1"/>
  <c r="B72" i="3"/>
  <c r="C73" i="3" s="1"/>
  <c r="B71" i="3" l="1"/>
  <c r="C72" i="3" s="1"/>
  <c r="B84" i="3"/>
  <c r="C86" i="3" s="1"/>
  <c r="B69" i="3"/>
  <c r="D69" i="3" s="1"/>
  <c r="D41" i="3"/>
  <c r="C41" i="3"/>
  <c r="D40" i="3"/>
  <c r="C40" i="3"/>
  <c r="C71" i="3" l="1"/>
  <c r="D84" i="3"/>
  <c r="B68" i="3"/>
  <c r="B83" i="3"/>
  <c r="B67" i="3"/>
  <c r="B66" i="3"/>
  <c r="C66" i="3" s="1"/>
  <c r="D68" i="3" l="1"/>
  <c r="D73" i="3"/>
  <c r="D83" i="3"/>
  <c r="D86" i="3"/>
  <c r="D67" i="3"/>
  <c r="D72" i="3"/>
  <c r="D71" i="3"/>
  <c r="C84" i="3"/>
  <c r="C69" i="3"/>
  <c r="C68" i="3"/>
  <c r="C83" i="3"/>
  <c r="D66" i="3"/>
  <c r="C67" i="3"/>
</calcChain>
</file>

<file path=xl/sharedStrings.xml><?xml version="1.0" encoding="utf-8"?>
<sst xmlns="http://schemas.openxmlformats.org/spreadsheetml/2006/main" count="257" uniqueCount="156">
  <si>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</si>
  <si>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</si>
  <si>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</si>
  <si>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</si>
  <si>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</si>
  <si>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</si>
  <si>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</si>
  <si>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</si>
  <si>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</si>
  <si>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</si>
  <si>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</si>
  <si>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</si>
  <si>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</si>
  <si>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</si>
  <si>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</si>
  <si>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</si>
  <si>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</si>
  <si>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</si>
  <si>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</si>
  <si>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</si>
  <si>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</si>
  <si>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</si>
  <si>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</si>
  <si>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</si>
  <si>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</si>
  <si>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</si>
  <si>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</si>
  <si>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</si>
  <si>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</si>
  <si>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</si>
  <si>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</si>
  <si>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</si>
  <si>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</si>
  <si>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</si>
  <si>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</si>
  <si>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</si>
  <si>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</si>
  <si>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</si>
  <si>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</si>
  <si>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</si>
  <si>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</si>
  <si>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</si>
  <si>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</si>
  <si>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</si>
  <si>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</si>
  <si>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</si>
  <si>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</si>
  <si>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</si>
  <si>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</si>
  <si>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</si>
  <si>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</si>
  <si>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</si>
  <si>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</si>
  <si>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</si>
  <si>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</si>
  <si>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</si>
  <si>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</si>
  <si>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</si>
  <si>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</si>
  <si>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</si>
  <si>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</si>
  <si>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</si>
  <si>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</si>
  <si>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</si>
  <si>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</si>
  <si>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</si>
  <si>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</si>
  <si>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</si>
  <si>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</si>
  <si>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</si>
  <si>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</si>
  <si>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</si>
  <si>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</si>
  <si>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</si>
  <si>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</si>
  <si>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</si>
  <si>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</si>
  <si>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</si>
  <si>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</si>
  <si>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</si>
  <si>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</si>
  <si>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</si>
  <si>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</si>
  <si>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</si>
  <si>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</si>
  <si>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</si>
  <si>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</si>
  <si>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</si>
  <si>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</si>
  <si>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</si>
  <si>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</si>
  <si>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</si>
  <si>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</si>
  <si>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</si>
  <si>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</si>
  <si>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</si>
  <si>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</si>
  <si>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</si>
  <si>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</si>
  <si>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</si>
  <si>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</si>
  <si>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</si>
  <si>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</si>
  <si>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</si>
  <si>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</si>
  <si>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</si>
  <si>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</si>
  <si>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</si>
  <si>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</si>
  <si>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</si>
  <si>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</si>
  <si>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</si>
  <si>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</si>
  <si>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</si>
  <si>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</si>
  <si>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</si>
  <si>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</si>
  <si>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</si>
  <si>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</si>
  <si>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</si>
  <si>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</si>
  <si>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</si>
  <si>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</si>
  <si>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</si>
  <si>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</si>
  <si>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</si>
  <si>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</si>
  <si>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</si>
  <si>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</si>
  <si>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</si>
  <si>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</si>
  <si>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</si>
  <si>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</si>
  <si>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26-03-2026</t>
  </si>
  <si>
    <t>02-04-2026</t>
  </si>
  <si>
    <t>03-04-2026</t>
  </si>
  <si>
    <t>09-04-2026</t>
  </si>
  <si>
    <t>16-04-2026</t>
  </si>
  <si>
    <t>23-04-2026</t>
  </si>
  <si>
    <t>30-04-2026</t>
  </si>
  <si>
    <t>07-05-2026</t>
  </si>
  <si>
    <t>14-05-2026</t>
  </si>
  <si>
    <t>U.O.NO.PBS.PS.SPI-1516(01)/2019-190</t>
  </si>
  <si>
    <t>Dated: 21.05.2026</t>
  </si>
  <si>
    <t>Subject:   Sensitive Price Indicator (SPI) for the week ended on 21-05-2026.</t>
  </si>
  <si>
    <t>For the week ended on May 21, 2026, the SPI and percentage changes by</t>
  </si>
  <si>
    <t>SPI for week ended on
21-05-2026     14-05-26     22-05-25</t>
  </si>
  <si>
    <t>% change over
14-05-26     22-05-25</t>
  </si>
  <si>
    <t>21-05-2026</t>
  </si>
  <si>
    <t>The comparative changes in prices i.e. increase, decrease and unchanged for the week ended on 21-05-2026 over</t>
  </si>
  <si>
    <t>previous and corresponding weeks ended on 14-05-2026 and 22-05-2025 repectively are as follows:</t>
  </si>
  <si>
    <t>Prices in Rs.
on
21.05.26 14.05.26 22.05.25</t>
  </si>
  <si>
    <t>%change                col. 3 over                  14.05.26 22.05.25</t>
  </si>
  <si>
    <t>i.    Average prices of the following 26 items registered INCREASE.</t>
  </si>
  <si>
    <t>ii.    Average prices of the following 11 items registered DECREASE.</t>
  </si>
  <si>
    <t>iii.    Average prices of the following 14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</si>
</sst>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M24" sqref="M24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5" t="s">
        <v>116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58" t="s">
        <v>0</v>
      </c>
      <c r="B3" s="59"/>
      <c r="C3" s="59"/>
      <c r="D3" s="59"/>
      <c r="E3" s="59"/>
      <c r="F3" s="59"/>
      <c r="G3" s="59"/>
      <c r="H3" s="5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1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2" t="s">
        <v>1</v>
      </c>
      <c r="B7" s="63"/>
      <c r="C7" s="63"/>
      <c r="D7" s="63"/>
      <c r="E7" s="63"/>
      <c r="F7" s="63"/>
      <c r="G7" s="63"/>
      <c r="H7" s="6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64"/>
      <c r="B8" s="64"/>
      <c r="C8" s="64"/>
      <c r="D8" s="64"/>
      <c r="E8" s="64"/>
      <c r="F8" s="64"/>
      <c r="G8" s="64"/>
      <c r="H8" s="64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64" t="s">
        <v>144</v>
      </c>
      <c r="B9" s="64"/>
      <c r="C9" s="64"/>
      <c r="D9" s="64"/>
      <c r="E9" s="64"/>
      <c r="F9" s="64"/>
      <c r="G9" s="64"/>
      <c r="H9" s="64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64"/>
      <c r="B10" s="64"/>
      <c r="C10" s="64"/>
      <c r="D10" s="64"/>
      <c r="E10" s="64"/>
      <c r="F10" s="64"/>
      <c r="G10" s="64"/>
      <c r="H10" s="64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64"/>
      <c r="B11" s="64"/>
      <c r="C11" s="64"/>
      <c r="D11" s="64"/>
      <c r="E11" s="64"/>
      <c r="F11" s="64"/>
      <c r="G11" s="64"/>
      <c r="H11" s="64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64"/>
      <c r="B12" s="64" t="s">
        <v>2</v>
      </c>
      <c r="C12" s="64"/>
      <c r="D12" s="64"/>
      <c r="E12" s="64"/>
      <c r="F12" s="64"/>
      <c r="G12" s="64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64" t="s">
        <v>3</v>
      </c>
      <c r="B13" s="64"/>
      <c r="C13" s="64"/>
      <c r="D13" s="64"/>
      <c r="E13" s="64"/>
      <c r="F13" s="64"/>
      <c r="G13" s="64"/>
      <c r="H13" s="64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64"/>
      <c r="B14" s="64"/>
      <c r="C14" s="64"/>
      <c r="D14" s="64"/>
      <c r="E14" s="64"/>
      <c r="F14" s="64"/>
      <c r="G14" s="64"/>
      <c r="H14" s="6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64"/>
      <c r="B15" s="64"/>
      <c r="C15" s="64"/>
      <c r="D15" s="64"/>
      <c r="E15" s="64"/>
      <c r="F15" s="64"/>
      <c r="G15" s="64"/>
      <c r="H15" s="6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65" t="s">
        <v>4</v>
      </c>
      <c r="B16" s="64" t="s">
        <v>145</v>
      </c>
      <c r="C16" s="64"/>
      <c r="D16" s="64"/>
      <c r="E16" s="64"/>
      <c r="F16" s="64"/>
      <c r="G16" s="64"/>
      <c r="H16" s="6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65" t="s">
        <v>5</v>
      </c>
      <c r="B17" s="64"/>
      <c r="C17" s="64"/>
      <c r="D17" s="64"/>
      <c r="E17" s="64"/>
      <c r="F17" s="64"/>
      <c r="G17" s="64"/>
      <c r="H17" s="64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65"/>
      <c r="B18" s="64"/>
      <c r="C18" s="64"/>
      <c r="D18" s="64"/>
      <c r="E18" s="64"/>
      <c r="F18" s="64"/>
      <c r="G18" s="64"/>
      <c r="H18" s="64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65"/>
      <c r="B19" s="66" t="s">
        <v>6</v>
      </c>
      <c r="C19" s="66"/>
      <c r="D19" s="66"/>
      <c r="E19" s="66"/>
      <c r="F19" s="66"/>
      <c r="G19" s="66"/>
      <c r="H19" s="6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65"/>
      <c r="B20" s="67" t="s">
        <v>117</v>
      </c>
      <c r="C20" s="67"/>
      <c r="D20" s="67" t="s">
        <v>146</v>
      </c>
      <c r="E20" s="67"/>
      <c r="F20" s="67"/>
      <c r="G20" s="67" t="s">
        <v>147</v>
      </c>
      <c r="H20" s="6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68"/>
      <c r="B21" s="69" t="s">
        <v>7</v>
      </c>
      <c r="C21" s="69"/>
      <c r="D21" s="70">
        <v>335.56</v>
      </c>
      <c r="E21" s="70">
        <v>335.77</v>
      </c>
      <c r="F21" s="70">
        <v>300.18</v>
      </c>
      <c r="G21" s="70">
        <f t="shared" ref="G21:G26" si="0">D21/E21*100-100</f>
        <v>-6.2542812043957952E-2</v>
      </c>
      <c r="H21" s="70">
        <f t="shared" ref="H21:H26" si="1">D21/F21*100-100</f>
        <v>11.786261576387489</v>
      </c>
      <c r="I21" s="57"/>
      <c r="J21" s="57"/>
      <c r="K21" s="57"/>
      <c r="L21" s="57"/>
      <c r="M21" s="71"/>
      <c r="N21" s="71"/>
      <c r="O21" s="71"/>
      <c r="P21" s="71"/>
      <c r="Q21" s="71"/>
      <c r="R21" s="71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68"/>
      <c r="B22" s="69" t="s">
        <v>8</v>
      </c>
      <c r="C22" s="69"/>
      <c r="D22" s="70">
        <v>339.97</v>
      </c>
      <c r="E22" s="70">
        <v>340.94</v>
      </c>
      <c r="F22" s="70">
        <v>297.38</v>
      </c>
      <c r="G22" s="70">
        <f t="shared" si="0"/>
        <v>-0.28450753798321671</v>
      </c>
      <c r="H22" s="70">
        <f t="shared" si="1"/>
        <v>14.321743224157643</v>
      </c>
      <c r="I22" s="57"/>
      <c r="J22" s="57"/>
      <c r="K22" s="57"/>
      <c r="L22" s="57"/>
      <c r="M22" s="71"/>
      <c r="N22" s="71"/>
      <c r="O22" s="71"/>
      <c r="P22" s="71"/>
      <c r="Q22" s="71"/>
      <c r="R22" s="71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68"/>
      <c r="B23" s="69" t="s">
        <v>9</v>
      </c>
      <c r="C23" s="69"/>
      <c r="D23" s="70">
        <v>363.04</v>
      </c>
      <c r="E23" s="70">
        <v>363.6</v>
      </c>
      <c r="F23" s="70">
        <v>321.74</v>
      </c>
      <c r="G23" s="70">
        <f t="shared" si="0"/>
        <v>-0.15401540154014981</v>
      </c>
      <c r="H23" s="70">
        <f t="shared" si="1"/>
        <v>12.836451793373541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68"/>
      <c r="B24" s="69" t="s">
        <v>10</v>
      </c>
      <c r="C24" s="69"/>
      <c r="D24" s="70">
        <v>352.67</v>
      </c>
      <c r="E24" s="70">
        <v>353.13</v>
      </c>
      <c r="F24" s="70">
        <v>312.63</v>
      </c>
      <c r="G24" s="70">
        <f t="shared" si="0"/>
        <v>-0.130263642284703</v>
      </c>
      <c r="H24" s="70">
        <f t="shared" si="1"/>
        <v>12.80747209160991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68"/>
      <c r="B25" s="69" t="s">
        <v>11</v>
      </c>
      <c r="C25" s="69"/>
      <c r="D25" s="70">
        <v>360.04</v>
      </c>
      <c r="E25" s="70">
        <v>361.33</v>
      </c>
      <c r="F25" s="70">
        <v>315.35000000000002</v>
      </c>
      <c r="G25" s="70">
        <f t="shared" si="0"/>
        <v>-0.35701436360112382</v>
      </c>
      <c r="H25" s="70">
        <f t="shared" si="1"/>
        <v>14.17155541461868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68"/>
      <c r="B26" s="69" t="s">
        <v>12</v>
      </c>
      <c r="C26" s="69"/>
      <c r="D26" s="70">
        <v>357.54</v>
      </c>
      <c r="E26" s="70">
        <v>358.71</v>
      </c>
      <c r="F26" s="70">
        <v>312.33999999999997</v>
      </c>
      <c r="G26" s="70">
        <f t="shared" si="0"/>
        <v>-0.32616877143094314</v>
      </c>
      <c r="H26" s="70">
        <f t="shared" si="1"/>
        <v>14.471409361593146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68"/>
      <c r="B27" s="72"/>
      <c r="C27" s="72"/>
      <c r="D27" s="72"/>
      <c r="E27" s="72"/>
      <c r="F27" s="72"/>
      <c r="G27" s="72"/>
      <c r="H27" s="72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68"/>
      <c r="B28" s="72"/>
      <c r="C28" s="72"/>
      <c r="D28" s="72"/>
      <c r="E28" s="72"/>
      <c r="F28" s="72"/>
      <c r="G28" s="72"/>
      <c r="H28" s="72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65" t="s">
        <v>13</v>
      </c>
      <c r="B29" s="64" t="s">
        <v>14</v>
      </c>
      <c r="C29" s="64"/>
      <c r="D29" s="64"/>
      <c r="E29" s="64"/>
      <c r="F29" s="64"/>
      <c r="G29" s="64"/>
      <c r="H29" s="6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65" t="s">
        <v>15</v>
      </c>
      <c r="B30" s="64"/>
      <c r="C30" s="64"/>
      <c r="D30" s="64"/>
      <c r="E30" s="64"/>
      <c r="F30" s="64"/>
      <c r="G30" s="64"/>
      <c r="H30" s="64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65"/>
      <c r="B31" s="64"/>
      <c r="C31" s="64"/>
      <c r="D31" s="64"/>
      <c r="E31" s="64"/>
      <c r="F31" s="64"/>
      <c r="G31" s="64"/>
      <c r="H31" s="64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65"/>
      <c r="B32" s="66" t="s">
        <v>6</v>
      </c>
      <c r="C32" s="66"/>
      <c r="D32" s="66"/>
      <c r="E32" s="66"/>
      <c r="F32" s="66"/>
      <c r="G32" s="66"/>
      <c r="H32" s="6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65"/>
      <c r="B33" s="73" t="s">
        <v>16</v>
      </c>
      <c r="C33" s="73" t="s">
        <v>118</v>
      </c>
      <c r="D33" s="74" t="s">
        <v>17</v>
      </c>
      <c r="E33" s="74"/>
      <c r="F33" s="73" t="s">
        <v>18</v>
      </c>
      <c r="G33" s="74" t="s">
        <v>17</v>
      </c>
      <c r="H33" s="74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68"/>
      <c r="B34" s="75" t="s">
        <v>133</v>
      </c>
      <c r="C34" s="70">
        <v>329.39</v>
      </c>
      <c r="D34" s="70">
        <f>C34/326.22*100-100</f>
        <v>0.97173686469251663</v>
      </c>
      <c r="E34" s="70">
        <f>C34/308.43*100-100</f>
        <v>6.7957072917679682</v>
      </c>
      <c r="F34" s="70">
        <v>345.45</v>
      </c>
      <c r="G34" s="70">
        <f>F34/342.13*100-100</f>
        <v>0.97039137170081347</v>
      </c>
      <c r="H34" s="70">
        <f>F34/319.62*100-100</f>
        <v>8.081471747700391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68"/>
      <c r="B35" s="75" t="s">
        <v>134</v>
      </c>
      <c r="C35" s="70">
        <v>331.69</v>
      </c>
      <c r="D35" s="70">
        <f>C35/329.39*100-100</f>
        <v>0.69826042077781381</v>
      </c>
      <c r="E35" s="70">
        <f>C35/307.79*100-100</f>
        <v>7.765034601514003</v>
      </c>
      <c r="F35" s="70">
        <v>348.94</v>
      </c>
      <c r="G35" s="70">
        <f>F35/345.45*100-100</f>
        <v>1.0102764510059359</v>
      </c>
      <c r="H35" s="70">
        <f>F35/319.14*100-100</f>
        <v>9.3375947859873492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68"/>
      <c r="B36" s="75" t="s">
        <v>135</v>
      </c>
      <c r="C36" s="70">
        <v>334.74</v>
      </c>
      <c r="D36" s="70">
        <f>C36/331.69*100-100</f>
        <v>0.91953329916488258</v>
      </c>
      <c r="E36" s="70">
        <f>C36/308.66*100-100</f>
        <v>8.4494265534892747</v>
      </c>
      <c r="F36" s="70">
        <v>356.04</v>
      </c>
      <c r="G36" s="70">
        <v>3.07</v>
      </c>
      <c r="H36" s="70">
        <f>F36/319.79*100-100</f>
        <v>11.335563963851271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68"/>
      <c r="B37" s="75" t="s">
        <v>136</v>
      </c>
      <c r="C37" s="70">
        <v>334.17</v>
      </c>
      <c r="D37" s="70">
        <f>C37/334.74*100-100</f>
        <v>-0.17028141243949335</v>
      </c>
      <c r="E37" s="70">
        <f>C37/305.65*100-100</f>
        <v>9.3309340749223111</v>
      </c>
      <c r="F37" s="70">
        <v>355.66</v>
      </c>
      <c r="G37" s="70">
        <v>1.93</v>
      </c>
      <c r="H37" s="70">
        <f>F37/317.12*100-100</f>
        <v>12.153128153380436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68"/>
      <c r="B38" s="75" t="s">
        <v>137</v>
      </c>
      <c r="C38" s="70">
        <v>332.97</v>
      </c>
      <c r="D38" s="70">
        <f>C38/334.17*100-100</f>
        <v>-0.35909866235748211</v>
      </c>
      <c r="E38" s="70">
        <f>C38/303.2*100-100</f>
        <v>9.8186015831134767</v>
      </c>
      <c r="F38" s="70">
        <v>353.21</v>
      </c>
      <c r="G38" s="70">
        <v>-0.68886014733173795</v>
      </c>
      <c r="H38" s="70">
        <f>F38/314.92*100-100</f>
        <v>12.158643465006975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68"/>
      <c r="B39" s="75" t="s">
        <v>138</v>
      </c>
      <c r="C39" s="70">
        <v>331.6</v>
      </c>
      <c r="D39" s="70">
        <f>C39/332.97*100-100</f>
        <v>-0.41144847884193325</v>
      </c>
      <c r="E39" s="70">
        <f>C39/297.71*100-100</f>
        <v>11.38356118370227</v>
      </c>
      <c r="F39" s="70">
        <v>352.04</v>
      </c>
      <c r="G39" s="70">
        <v>-0.33124769966873657</v>
      </c>
      <c r="H39" s="70">
        <f>F39/308.86*100-100</f>
        <v>13.980444214207083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68"/>
      <c r="B40" s="75" t="s">
        <v>139</v>
      </c>
      <c r="C40" s="70">
        <v>332.16</v>
      </c>
      <c r="D40" s="70">
        <f>C40/331.6*100-100</f>
        <v>0.1688781664656176</v>
      </c>
      <c r="E40" s="70">
        <f>C40/297.93*100-100</f>
        <v>11.489276004430565</v>
      </c>
      <c r="F40" s="70">
        <v>354.23</v>
      </c>
      <c r="G40" s="70">
        <v>0.62208839904556612</v>
      </c>
      <c r="H40" s="70">
        <f>F40/309.31*100-100</f>
        <v>14.522647182438348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68"/>
      <c r="B41" s="75" t="s">
        <v>140</v>
      </c>
      <c r="C41" s="70">
        <v>334.45</v>
      </c>
      <c r="D41" s="70">
        <f>C41/332.16*100-100</f>
        <v>0.68942678227359977</v>
      </c>
      <c r="E41" s="70">
        <f>C41/298.24*100-100</f>
        <v>12.141228540772531</v>
      </c>
      <c r="F41" s="70">
        <v>357.04</v>
      </c>
      <c r="G41" s="70">
        <v>0.79326990938091058</v>
      </c>
      <c r="H41" s="70">
        <f>F41/310.05*100-100</f>
        <v>15.155620061280445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68"/>
      <c r="B42" s="75" t="s">
        <v>141</v>
      </c>
      <c r="C42" s="70">
        <v>335.77</v>
      </c>
      <c r="D42" s="70">
        <f>C42/334.45*100-100</f>
        <v>0.3946778292719415</v>
      </c>
      <c r="E42" s="70">
        <f>C42/300.97*100-100</f>
        <v>11.562614214041261</v>
      </c>
      <c r="F42" s="70">
        <v>358.71</v>
      </c>
      <c r="G42" s="70">
        <v>0.46773470759578117</v>
      </c>
      <c r="H42" s="70">
        <f>F42/313.24*100-100</f>
        <v>14.51602605031286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68"/>
      <c r="B43" s="75" t="s">
        <v>148</v>
      </c>
      <c r="C43" s="70">
        <v>335.56</v>
      </c>
      <c r="D43" s="70">
        <f>C43/335.77*100-100</f>
        <v>-6.2542812043957952E-2</v>
      </c>
      <c r="E43" s="70">
        <f>C43/300.18*100-100</f>
        <v>11.786261576387489</v>
      </c>
      <c r="F43" s="70">
        <v>357.54</v>
      </c>
      <c r="G43" s="70">
        <f>F43/358.71*100-100</f>
        <v>-0.32616877143094314</v>
      </c>
      <c r="H43" s="70">
        <f>F43/312.34*100-100</f>
        <v>14.471409361593146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68"/>
      <c r="B44" s="72"/>
      <c r="C44" s="72"/>
      <c r="D44" s="72"/>
      <c r="E44" s="72"/>
      <c r="F44" s="72"/>
      <c r="G44" s="72"/>
      <c r="H44" s="72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68"/>
      <c r="B45" s="72"/>
      <c r="C45" s="72"/>
      <c r="D45" s="72"/>
      <c r="E45" s="72"/>
      <c r="F45" s="72"/>
      <c r="G45" s="72"/>
      <c r="H45" s="72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65" t="s">
        <v>19</v>
      </c>
      <c r="B46" s="64" t="s">
        <v>20</v>
      </c>
      <c r="C46" s="64"/>
      <c r="D46" s="64"/>
      <c r="E46" s="64"/>
      <c r="F46" s="64"/>
      <c r="G46" s="64"/>
      <c r="H46" s="6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64" t="s">
        <v>21</v>
      </c>
      <c r="B47" s="64"/>
      <c r="C47" s="64"/>
      <c r="D47" s="64"/>
      <c r="E47" s="64"/>
      <c r="F47" s="64"/>
      <c r="G47" s="64"/>
      <c r="H47" s="6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5" sqref="P15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4">
        <v>5</v>
      </c>
      <c r="B1" s="64" t="s">
        <v>149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64" t="s">
        <v>150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64"/>
      <c r="B4" s="76" t="s">
        <v>22</v>
      </c>
      <c r="C4" s="76" t="s">
        <v>23</v>
      </c>
      <c r="D4" s="76" t="s">
        <v>24</v>
      </c>
      <c r="E4" s="77" t="s">
        <v>151</v>
      </c>
      <c r="F4" s="77"/>
      <c r="G4" s="77"/>
      <c r="H4" s="77" t="s">
        <v>152</v>
      </c>
      <c r="I4" s="77"/>
      <c r="J4" s="77" t="s">
        <v>122</v>
      </c>
      <c r="K4" s="77"/>
      <c r="L4" s="77" t="s">
        <v>123</v>
      </c>
      <c r="M4" s="78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4"/>
      <c r="B5" s="79"/>
      <c r="C5" s="79">
        <v>1</v>
      </c>
      <c r="D5" s="79">
        <v>2</v>
      </c>
      <c r="E5" s="79">
        <v>3</v>
      </c>
      <c r="F5" s="79">
        <v>4</v>
      </c>
      <c r="G5" s="79">
        <v>5</v>
      </c>
      <c r="H5" s="79">
        <v>6</v>
      </c>
      <c r="I5" s="79">
        <v>7</v>
      </c>
      <c r="J5" s="79">
        <v>8</v>
      </c>
      <c r="K5" s="79">
        <v>9</v>
      </c>
      <c r="L5" s="79">
        <v>10</v>
      </c>
      <c r="M5" s="79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72"/>
      <c r="B6" s="80" t="s">
        <v>153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72"/>
      <c r="B7" s="82">
        <v>1</v>
      </c>
      <c r="C7" s="82" t="s">
        <v>59</v>
      </c>
      <c r="D7" s="82" t="s">
        <v>26</v>
      </c>
      <c r="E7" s="70">
        <v>68.180000000000007</v>
      </c>
      <c r="F7" s="70">
        <v>63.62</v>
      </c>
      <c r="G7" s="70">
        <v>50.66</v>
      </c>
      <c r="H7" s="70">
        <v>7.17</v>
      </c>
      <c r="I7" s="70">
        <v>34.58</v>
      </c>
      <c r="J7" s="83">
        <v>1.4395</v>
      </c>
      <c r="K7" s="83">
        <v>0.98160000000000003</v>
      </c>
      <c r="L7" s="83">
        <v>6.9928986935073198E-2</v>
      </c>
      <c r="M7" s="83">
        <v>4.4659969529746199E-2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72"/>
      <c r="B8" s="82">
        <v>2</v>
      </c>
      <c r="C8" s="82" t="s">
        <v>61</v>
      </c>
      <c r="D8" s="82" t="s">
        <v>26</v>
      </c>
      <c r="E8" s="70">
        <v>73.61</v>
      </c>
      <c r="F8" s="70">
        <v>69.39</v>
      </c>
      <c r="G8" s="70">
        <v>43.73</v>
      </c>
      <c r="H8" s="70">
        <v>6.08</v>
      </c>
      <c r="I8" s="70">
        <v>68.33</v>
      </c>
      <c r="J8" s="83">
        <v>2.6815000000000002</v>
      </c>
      <c r="K8" s="83">
        <v>1.6821999999999999</v>
      </c>
      <c r="L8" s="83">
        <v>0.122554421310829</v>
      </c>
      <c r="M8" s="83">
        <v>7.1980050765171402E-2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72"/>
      <c r="B9" s="82">
        <v>3</v>
      </c>
      <c r="C9" s="82" t="s">
        <v>48</v>
      </c>
      <c r="D9" s="82" t="s">
        <v>49</v>
      </c>
      <c r="E9" s="70">
        <v>2416.7800000000002</v>
      </c>
      <c r="F9" s="70">
        <v>2373.06</v>
      </c>
      <c r="G9" s="70">
        <v>1515.7</v>
      </c>
      <c r="H9" s="70">
        <v>1.84</v>
      </c>
      <c r="I9" s="70">
        <v>59.45</v>
      </c>
      <c r="J9" s="83">
        <v>6.1372</v>
      </c>
      <c r="K9" s="83">
        <v>3.9725000000000001</v>
      </c>
      <c r="L9" s="83">
        <v>0.139143197172344</v>
      </c>
      <c r="M9" s="83">
        <v>8.4301964955026495E-2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72"/>
      <c r="B10" s="82">
        <v>4</v>
      </c>
      <c r="C10" s="82" t="s">
        <v>74</v>
      </c>
      <c r="D10" s="82" t="s">
        <v>53</v>
      </c>
      <c r="E10" s="70">
        <v>685.73</v>
      </c>
      <c r="F10" s="70">
        <v>679.17</v>
      </c>
      <c r="G10" s="70">
        <v>655.45</v>
      </c>
      <c r="H10" s="70">
        <v>0.97</v>
      </c>
      <c r="I10" s="70">
        <v>4.62</v>
      </c>
      <c r="J10" s="83">
        <v>4.2221000000000002</v>
      </c>
      <c r="K10" s="83">
        <v>3.9577</v>
      </c>
      <c r="L10" s="83">
        <v>5.5276064630109298E-2</v>
      </c>
      <c r="M10" s="83">
        <v>4.8507083009836499E-2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72"/>
      <c r="B11" s="82">
        <v>5</v>
      </c>
      <c r="C11" s="82" t="s">
        <v>57</v>
      </c>
      <c r="D11" s="82" t="s">
        <v>53</v>
      </c>
      <c r="E11" s="70">
        <v>317.89</v>
      </c>
      <c r="F11" s="70">
        <v>314.91000000000003</v>
      </c>
      <c r="G11" s="70">
        <v>301.89999999999998</v>
      </c>
      <c r="H11" s="70">
        <v>0.95</v>
      </c>
      <c r="I11" s="70">
        <v>5.3</v>
      </c>
      <c r="J11" s="83">
        <v>0.75839999999999996</v>
      </c>
      <c r="K11" s="83">
        <v>0.90239999999999998</v>
      </c>
      <c r="L11" s="83">
        <v>3.9610542003257303E-3</v>
      </c>
      <c r="M11" s="83">
        <v>4.4325437922781196E-3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72"/>
      <c r="B12" s="82">
        <v>6</v>
      </c>
      <c r="C12" s="82" t="s">
        <v>27</v>
      </c>
      <c r="D12" s="82" t="s">
        <v>26</v>
      </c>
      <c r="E12" s="70">
        <v>35.83</v>
      </c>
      <c r="F12" s="70">
        <v>35.520000000000003</v>
      </c>
      <c r="G12" s="70">
        <v>61.8</v>
      </c>
      <c r="H12" s="70">
        <v>0.87</v>
      </c>
      <c r="I12" s="70">
        <v>-42.02</v>
      </c>
      <c r="J12" s="83">
        <v>2.2955000000000001</v>
      </c>
      <c r="K12" s="83">
        <v>1.2157</v>
      </c>
      <c r="L12" s="83">
        <v>3.87170711310041E-3</v>
      </c>
      <c r="M12" s="83">
        <v>1.89567910613152E-3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72"/>
      <c r="B13" s="82">
        <v>7</v>
      </c>
      <c r="C13" s="82" t="s">
        <v>39</v>
      </c>
      <c r="D13" s="82" t="s">
        <v>40</v>
      </c>
      <c r="E13" s="70">
        <v>172.65</v>
      </c>
      <c r="F13" s="70">
        <v>171.42</v>
      </c>
      <c r="G13" s="70">
        <v>164.44</v>
      </c>
      <c r="H13" s="70">
        <v>0.72</v>
      </c>
      <c r="I13" s="70">
        <v>4.99</v>
      </c>
      <c r="J13" s="83">
        <v>1.3118000000000001</v>
      </c>
      <c r="K13" s="83">
        <v>1.3013999999999999</v>
      </c>
      <c r="L13" s="83">
        <v>1.0096220856469299E-2</v>
      </c>
      <c r="M13" s="83">
        <v>9.3668849950028898E-3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72"/>
      <c r="B14" s="82">
        <v>8</v>
      </c>
      <c r="C14" s="82" t="s">
        <v>71</v>
      </c>
      <c r="D14" s="82" t="s">
        <v>72</v>
      </c>
      <c r="E14" s="70">
        <v>64.540000000000006</v>
      </c>
      <c r="F14" s="70">
        <v>64.27</v>
      </c>
      <c r="G14" s="70">
        <v>61.14</v>
      </c>
      <c r="H14" s="70">
        <v>0.42</v>
      </c>
      <c r="I14" s="70">
        <v>5.56</v>
      </c>
      <c r="J14" s="83">
        <v>2.5003000000000002</v>
      </c>
      <c r="K14" s="83">
        <v>2.3563999999999998</v>
      </c>
      <c r="L14" s="83">
        <v>4.9706762859726299E-2</v>
      </c>
      <c r="M14" s="83">
        <v>4.3851518146248901E-2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72"/>
      <c r="B15" s="82">
        <v>9</v>
      </c>
      <c r="C15" s="82" t="s">
        <v>32</v>
      </c>
      <c r="D15" s="82" t="s">
        <v>30</v>
      </c>
      <c r="E15" s="70">
        <v>3023.48</v>
      </c>
      <c r="F15" s="70">
        <v>3013.18</v>
      </c>
      <c r="G15" s="70">
        <v>2896.65</v>
      </c>
      <c r="H15" s="70">
        <v>0.34</v>
      </c>
      <c r="I15" s="70">
        <v>4.38</v>
      </c>
      <c r="J15" s="83">
        <v>2.1480000000000001</v>
      </c>
      <c r="K15" s="83">
        <v>3.1259999999999999</v>
      </c>
      <c r="L15" s="83">
        <v>1.0751432829455501E-2</v>
      </c>
      <c r="M15" s="83">
        <v>1.4607880170778E-2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72"/>
      <c r="B16" s="82">
        <v>10</v>
      </c>
      <c r="C16" s="82" t="s">
        <v>51</v>
      </c>
      <c r="D16" s="82" t="s">
        <v>26</v>
      </c>
      <c r="E16" s="70">
        <v>250.31</v>
      </c>
      <c r="F16" s="70">
        <v>249.45</v>
      </c>
      <c r="G16" s="70">
        <v>231.62</v>
      </c>
      <c r="H16" s="70">
        <v>0.34</v>
      </c>
      <c r="I16" s="70">
        <v>8.07</v>
      </c>
      <c r="J16" s="83">
        <v>0.73660000000000003</v>
      </c>
      <c r="K16" s="83">
        <v>1.8181</v>
      </c>
      <c r="L16" s="83">
        <v>5.5693017703827303E-3</v>
      </c>
      <c r="M16" s="83">
        <v>1.28515892342153E-2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72"/>
      <c r="B17" s="82">
        <v>11</v>
      </c>
      <c r="C17" s="82" t="s">
        <v>66</v>
      </c>
      <c r="D17" s="82" t="s">
        <v>26</v>
      </c>
      <c r="E17" s="70">
        <v>2354.14</v>
      </c>
      <c r="F17" s="70">
        <v>2346.89</v>
      </c>
      <c r="G17" s="70">
        <v>2031.97</v>
      </c>
      <c r="H17" s="70">
        <v>0.31</v>
      </c>
      <c r="I17" s="70">
        <v>15.86</v>
      </c>
      <c r="J17" s="83">
        <v>0.54979999999999996</v>
      </c>
      <c r="K17" s="83">
        <v>2.4386999999999999</v>
      </c>
      <c r="L17" s="83">
        <v>6.3734255554112398E-3</v>
      </c>
      <c r="M17" s="83">
        <v>2.6372241682359399E-2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72"/>
      <c r="B18" s="82">
        <v>12</v>
      </c>
      <c r="C18" s="82" t="s">
        <v>46</v>
      </c>
      <c r="D18" s="82" t="s">
        <v>47</v>
      </c>
      <c r="E18" s="70">
        <v>212.77</v>
      </c>
      <c r="F18" s="70">
        <v>212.14</v>
      </c>
      <c r="G18" s="70">
        <v>198.74</v>
      </c>
      <c r="H18" s="70">
        <v>0.3</v>
      </c>
      <c r="I18" s="70">
        <v>7.06</v>
      </c>
      <c r="J18" s="83">
        <v>17.544899999999998</v>
      </c>
      <c r="K18" s="83">
        <v>18.393699999999999</v>
      </c>
      <c r="L18" s="83">
        <v>0.13506301352238301</v>
      </c>
      <c r="M18" s="83">
        <v>0.13255814925963899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72"/>
      <c r="B19" s="82">
        <v>13</v>
      </c>
      <c r="C19" s="82" t="s">
        <v>44</v>
      </c>
      <c r="D19" s="82" t="s">
        <v>30</v>
      </c>
      <c r="E19" s="70">
        <v>1149.32</v>
      </c>
      <c r="F19" s="70">
        <v>1146.3</v>
      </c>
      <c r="G19" s="70">
        <v>1057.42</v>
      </c>
      <c r="H19" s="70">
        <v>0.26</v>
      </c>
      <c r="I19" s="70">
        <v>8.69</v>
      </c>
      <c r="J19" s="83">
        <v>8.0299999999999996E-2</v>
      </c>
      <c r="K19" s="83">
        <v>0.38169999999999998</v>
      </c>
      <c r="L19" s="83">
        <v>2.9782362408460599E-5</v>
      </c>
      <c r="M19" s="83">
        <v>1.67265803482177E-4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72"/>
      <c r="B20" s="82">
        <v>14</v>
      </c>
      <c r="C20" s="82" t="s">
        <v>33</v>
      </c>
      <c r="D20" s="82" t="s">
        <v>30</v>
      </c>
      <c r="E20" s="70">
        <v>1523.64</v>
      </c>
      <c r="F20" s="70">
        <v>1520.14</v>
      </c>
      <c r="G20" s="70">
        <v>1471.25</v>
      </c>
      <c r="H20" s="70">
        <v>0.23</v>
      </c>
      <c r="I20" s="70">
        <v>3.56</v>
      </c>
      <c r="J20" s="83">
        <v>3.2833000000000001</v>
      </c>
      <c r="K20" s="83">
        <v>1.4648000000000001</v>
      </c>
      <c r="L20" s="83">
        <v>1.4355098680879501E-2</v>
      </c>
      <c r="M20" s="83">
        <v>5.9658136575315903E-3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25">
      <c r="A21" s="72"/>
      <c r="B21" s="82">
        <v>15</v>
      </c>
      <c r="C21" s="82" t="s">
        <v>70</v>
      </c>
      <c r="D21" s="82" t="s">
        <v>40</v>
      </c>
      <c r="E21" s="70">
        <v>320.98</v>
      </c>
      <c r="F21" s="70">
        <v>320.31</v>
      </c>
      <c r="G21" s="70">
        <v>306.79000000000002</v>
      </c>
      <c r="H21" s="70">
        <v>0.21</v>
      </c>
      <c r="I21" s="70">
        <v>4.63</v>
      </c>
      <c r="J21" s="83">
        <v>0.50329999999999997</v>
      </c>
      <c r="K21" s="83">
        <v>1.0497000000000001</v>
      </c>
      <c r="L21" s="83">
        <v>8.0412378502850304E-4</v>
      </c>
      <c r="M21" s="83">
        <v>1.56114749916723E-3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72"/>
      <c r="B22" s="82">
        <v>16</v>
      </c>
      <c r="C22" s="82" t="s">
        <v>45</v>
      </c>
      <c r="D22" s="82" t="s">
        <v>30</v>
      </c>
      <c r="E22" s="70">
        <v>596.99</v>
      </c>
      <c r="F22" s="70">
        <v>595.80999999999995</v>
      </c>
      <c r="G22" s="70">
        <v>568.05999999999995</v>
      </c>
      <c r="H22" s="70">
        <v>0.2</v>
      </c>
      <c r="I22" s="70">
        <v>5.09</v>
      </c>
      <c r="J22" s="83">
        <v>3.2833000000000001</v>
      </c>
      <c r="K22" s="83">
        <v>1.4648000000000001</v>
      </c>
      <c r="L22" s="83">
        <v>1.09003446414978E-2</v>
      </c>
      <c r="M22" s="83">
        <v>4.57193196184666E-3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72"/>
      <c r="B23" s="82">
        <v>17</v>
      </c>
      <c r="C23" s="82" t="s">
        <v>75</v>
      </c>
      <c r="D23" s="82" t="s">
        <v>53</v>
      </c>
      <c r="E23" s="70">
        <v>536.98</v>
      </c>
      <c r="F23" s="70">
        <v>536.21</v>
      </c>
      <c r="G23" s="70">
        <v>497.93</v>
      </c>
      <c r="H23" s="70">
        <v>0.14000000000000001</v>
      </c>
      <c r="I23" s="70">
        <v>7.84</v>
      </c>
      <c r="J23" s="83">
        <v>3.1699999999999999E-2</v>
      </c>
      <c r="K23" s="83">
        <v>0.10100000000000001</v>
      </c>
      <c r="L23" s="83">
        <v>2.9782362408464801E-5</v>
      </c>
      <c r="M23" s="83">
        <v>1.115105356548E-4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72"/>
      <c r="B24" s="82">
        <v>18</v>
      </c>
      <c r="C24" s="82" t="s">
        <v>54</v>
      </c>
      <c r="D24" s="82" t="s">
        <v>26</v>
      </c>
      <c r="E24" s="70">
        <v>1249.6600000000001</v>
      </c>
      <c r="F24" s="70">
        <v>1248.6500000000001</v>
      </c>
      <c r="G24" s="70">
        <v>1106.6500000000001</v>
      </c>
      <c r="H24" s="70">
        <v>0.08</v>
      </c>
      <c r="I24" s="70">
        <v>12.92</v>
      </c>
      <c r="J24" s="83">
        <v>2.4988000000000001</v>
      </c>
      <c r="K24" s="83">
        <v>3.3532999999999999</v>
      </c>
      <c r="L24" s="83">
        <v>1.3997710331982501E-3</v>
      </c>
      <c r="M24" s="83">
        <v>1.7562909365629201E-3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72"/>
      <c r="B25" s="82">
        <v>19</v>
      </c>
      <c r="C25" s="82" t="s">
        <v>29</v>
      </c>
      <c r="D25" s="82" t="s">
        <v>30</v>
      </c>
      <c r="E25" s="70">
        <v>118.13</v>
      </c>
      <c r="F25" s="70">
        <v>118.04</v>
      </c>
      <c r="G25" s="70">
        <v>108.83</v>
      </c>
      <c r="H25" s="70">
        <v>0.08</v>
      </c>
      <c r="I25" s="70">
        <v>8.5500000000000007</v>
      </c>
      <c r="J25" s="83">
        <v>0.1041</v>
      </c>
      <c r="K25" s="83">
        <v>0.56979999999999997</v>
      </c>
      <c r="L25" s="83">
        <v>3.57388348901577E-4</v>
      </c>
      <c r="M25" s="83">
        <v>1.70053566873565E-3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72"/>
      <c r="B26" s="82">
        <v>20</v>
      </c>
      <c r="C26" s="82" t="s">
        <v>28</v>
      </c>
      <c r="D26" s="82" t="s">
        <v>26</v>
      </c>
      <c r="E26" s="70">
        <v>223.76</v>
      </c>
      <c r="F26" s="70">
        <v>223.61</v>
      </c>
      <c r="G26" s="70">
        <v>221.59</v>
      </c>
      <c r="H26" s="70">
        <v>7.0000000000000007E-2</v>
      </c>
      <c r="I26" s="70">
        <v>0.98</v>
      </c>
      <c r="J26" s="83">
        <v>0.2341</v>
      </c>
      <c r="K26" s="83">
        <v>0.1075</v>
      </c>
      <c r="L26" s="83">
        <v>-5.95647248169213E-5</v>
      </c>
      <c r="M26" s="83">
        <v>-2.78776339136961E-5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72"/>
      <c r="B27" s="82">
        <v>21</v>
      </c>
      <c r="C27" s="82" t="s">
        <v>38</v>
      </c>
      <c r="D27" s="82" t="s">
        <v>26</v>
      </c>
      <c r="E27" s="70">
        <v>551.92999999999995</v>
      </c>
      <c r="F27" s="70">
        <v>551.54999999999995</v>
      </c>
      <c r="G27" s="70">
        <v>524.98</v>
      </c>
      <c r="H27" s="70">
        <v>7.0000000000000007E-2</v>
      </c>
      <c r="I27" s="70">
        <v>5.13</v>
      </c>
      <c r="J27" s="83">
        <v>2.1600000000000001E-2</v>
      </c>
      <c r="K27" s="83">
        <v>3.4099999999999998E-2</v>
      </c>
      <c r="L27" s="83">
        <v>5.95647248169254E-5</v>
      </c>
      <c r="M27" s="83">
        <v>8.3632901741100005E-5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72"/>
      <c r="B28" s="82">
        <v>22</v>
      </c>
      <c r="C28" s="82" t="s">
        <v>52</v>
      </c>
      <c r="D28" s="82" t="s">
        <v>53</v>
      </c>
      <c r="E28" s="70">
        <v>678.48</v>
      </c>
      <c r="F28" s="70">
        <v>678.09</v>
      </c>
      <c r="G28" s="70">
        <v>656.27</v>
      </c>
      <c r="H28" s="70">
        <v>0.06</v>
      </c>
      <c r="I28" s="70">
        <v>3.38</v>
      </c>
      <c r="J28" s="83">
        <v>2.3441999999999998</v>
      </c>
      <c r="K28" s="83">
        <v>2.1473</v>
      </c>
      <c r="L28" s="83">
        <v>8.9347087225395097E-4</v>
      </c>
      <c r="M28" s="83">
        <v>7.8057374958349197E-4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72"/>
      <c r="B29" s="82">
        <v>23</v>
      </c>
      <c r="C29" s="82" t="s">
        <v>31</v>
      </c>
      <c r="D29" s="82" t="s">
        <v>30</v>
      </c>
      <c r="E29" s="70">
        <v>137.56</v>
      </c>
      <c r="F29" s="70">
        <v>137.49</v>
      </c>
      <c r="G29" s="70">
        <v>132</v>
      </c>
      <c r="H29" s="70">
        <v>0.05</v>
      </c>
      <c r="I29" s="70">
        <v>4.21</v>
      </c>
      <c r="J29" s="83">
        <v>1.1177999999999999</v>
      </c>
      <c r="K29" s="83">
        <v>0.5917</v>
      </c>
      <c r="L29" s="83">
        <v>3.0675833280717798E-3</v>
      </c>
      <c r="M29" s="83">
        <v>1.5332698652534701E-3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72"/>
      <c r="B30" s="82">
        <v>24</v>
      </c>
      <c r="C30" s="82" t="s">
        <v>37</v>
      </c>
      <c r="D30" s="82" t="s">
        <v>26</v>
      </c>
      <c r="E30" s="70">
        <v>148.93</v>
      </c>
      <c r="F30" s="70">
        <v>148.85</v>
      </c>
      <c r="G30" s="70">
        <v>175.11</v>
      </c>
      <c r="H30" s="70">
        <v>0.05</v>
      </c>
      <c r="I30" s="70">
        <v>-14.95</v>
      </c>
      <c r="J30" s="83">
        <v>5.1147999999999998</v>
      </c>
      <c r="K30" s="83">
        <v>3.1583999999999999</v>
      </c>
      <c r="L30" s="83">
        <v>-7.4455906021144997E-4</v>
      </c>
      <c r="M30" s="83">
        <v>-4.1816450870550399E-4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72"/>
      <c r="B31" s="82">
        <v>25</v>
      </c>
      <c r="C31" s="82" t="s">
        <v>64</v>
      </c>
      <c r="D31" s="82" t="s">
        <v>26</v>
      </c>
      <c r="E31" s="70">
        <v>216.2</v>
      </c>
      <c r="F31" s="70">
        <v>216.14</v>
      </c>
      <c r="G31" s="70">
        <v>199.98</v>
      </c>
      <c r="H31" s="70">
        <v>0.03</v>
      </c>
      <c r="I31" s="70">
        <v>8.11</v>
      </c>
      <c r="J31" s="83">
        <v>2.9609999999999999</v>
      </c>
      <c r="K31" s="83">
        <v>1.2636000000000001</v>
      </c>
      <c r="L31" s="83">
        <v>4.31844254922778E-3</v>
      </c>
      <c r="M31" s="83">
        <v>1.72841330264928E-3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72"/>
      <c r="B32" s="82">
        <v>26</v>
      </c>
      <c r="C32" s="82" t="s">
        <v>65</v>
      </c>
      <c r="D32" s="82" t="s">
        <v>26</v>
      </c>
      <c r="E32" s="70">
        <v>153.5</v>
      </c>
      <c r="F32" s="70">
        <v>153.47</v>
      </c>
      <c r="G32" s="70">
        <v>152.69999999999999</v>
      </c>
      <c r="H32" s="70">
        <v>0.02</v>
      </c>
      <c r="I32" s="70">
        <v>0.52</v>
      </c>
      <c r="J32" s="83">
        <v>0.59219999999999995</v>
      </c>
      <c r="K32" s="83">
        <v>0.1671</v>
      </c>
      <c r="L32" s="83">
        <v>4.7651779853537002E-4</v>
      </c>
      <c r="M32" s="83">
        <v>1.39388169568481E-4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3.1" customHeight="1" x14ac:dyDescent="0.25">
      <c r="A33" s="72"/>
      <c r="B33" s="84" t="s">
        <v>58</v>
      </c>
      <c r="C33" s="84"/>
      <c r="D33" s="84"/>
      <c r="E33" s="85"/>
      <c r="F33" s="85"/>
      <c r="G33" s="85"/>
      <c r="H33" s="85"/>
      <c r="I33" s="85"/>
      <c r="J33" s="86">
        <f>SUM(J7:J32)</f>
        <v>64.496099999999998</v>
      </c>
      <c r="K33" s="86">
        <f>SUM(K7:K32)</f>
        <v>58.001199999999997</v>
      </c>
      <c r="L33" s="86">
        <f>SUM(L7:L32)</f>
        <v>0.64818333545780971</v>
      </c>
      <c r="M33" s="83">
        <f>SUM(M7:M32)</f>
        <v>0.51503928655559161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72"/>
      <c r="B34" s="80" t="s">
        <v>154</v>
      </c>
      <c r="C34" s="81"/>
      <c r="D34" s="81"/>
      <c r="E34" s="87"/>
      <c r="F34" s="87"/>
      <c r="G34" s="87"/>
      <c r="H34" s="87"/>
      <c r="I34" s="87"/>
      <c r="J34" s="88"/>
      <c r="K34" s="88"/>
      <c r="L34" s="88"/>
      <c r="M34" s="88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72"/>
      <c r="B35" s="82">
        <v>1</v>
      </c>
      <c r="C35" s="82" t="s">
        <v>25</v>
      </c>
      <c r="D35" s="82" t="s">
        <v>26</v>
      </c>
      <c r="E35" s="70">
        <v>364.8</v>
      </c>
      <c r="F35" s="70">
        <v>398.96</v>
      </c>
      <c r="G35" s="70">
        <v>466.43</v>
      </c>
      <c r="H35" s="70">
        <v>-8.56</v>
      </c>
      <c r="I35" s="70">
        <v>-21.79</v>
      </c>
      <c r="J35" s="83">
        <v>2.9268999999999998</v>
      </c>
      <c r="K35" s="83">
        <v>3.8681000000000001</v>
      </c>
      <c r="L35" s="83">
        <v>-0.19522338558748101</v>
      </c>
      <c r="M35" s="83">
        <v>-0.24153182022829001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72"/>
      <c r="B36" s="82">
        <v>2</v>
      </c>
      <c r="C36" s="82" t="s">
        <v>119</v>
      </c>
      <c r="D36" s="82" t="s">
        <v>80</v>
      </c>
      <c r="E36" s="70">
        <v>6.95</v>
      </c>
      <c r="F36" s="70">
        <v>7.4</v>
      </c>
      <c r="G36" s="70">
        <v>4.8499999999999996</v>
      </c>
      <c r="H36" s="70">
        <v>-6.08</v>
      </c>
      <c r="I36" s="70">
        <v>43.3</v>
      </c>
      <c r="J36" s="83">
        <v>8.3627000000000002</v>
      </c>
      <c r="K36" s="83">
        <v>12.9291</v>
      </c>
      <c r="L36" s="83">
        <v>-0.47898973461532501</v>
      </c>
      <c r="M36" s="83">
        <v>-0.45811315810381997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72"/>
      <c r="B37" s="82">
        <v>3</v>
      </c>
      <c r="C37" s="82" t="s">
        <v>41</v>
      </c>
      <c r="D37" s="82" t="s">
        <v>26</v>
      </c>
      <c r="E37" s="70">
        <v>407.15</v>
      </c>
      <c r="F37" s="70">
        <v>422.03</v>
      </c>
      <c r="G37" s="70">
        <v>359.06</v>
      </c>
      <c r="H37" s="70">
        <v>-3.53</v>
      </c>
      <c r="I37" s="70">
        <v>13.39</v>
      </c>
      <c r="J37" s="83">
        <v>0.68069999999999997</v>
      </c>
      <c r="K37" s="83">
        <v>0.57950000000000002</v>
      </c>
      <c r="L37" s="83">
        <v>-6.4627726426366803E-3</v>
      </c>
      <c r="M37" s="83">
        <v>-5.1573622740343399E-3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72"/>
      <c r="B38" s="82">
        <v>4</v>
      </c>
      <c r="C38" s="82" t="s">
        <v>50</v>
      </c>
      <c r="D38" s="82" t="s">
        <v>26</v>
      </c>
      <c r="E38" s="70">
        <v>385.73</v>
      </c>
      <c r="F38" s="70">
        <v>391.4</v>
      </c>
      <c r="G38" s="70">
        <v>402.68</v>
      </c>
      <c r="H38" s="70">
        <v>-1.45</v>
      </c>
      <c r="I38" s="70">
        <v>-4.21</v>
      </c>
      <c r="J38" s="83">
        <v>0.87150000000000005</v>
      </c>
      <c r="K38" s="83">
        <v>0.48159999999999997</v>
      </c>
      <c r="L38" s="83">
        <v>-2.71019497917012E-3</v>
      </c>
      <c r="M38" s="83">
        <v>-1.39388169568493E-3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72"/>
      <c r="B39" s="82">
        <v>5</v>
      </c>
      <c r="C39" s="82" t="s">
        <v>83</v>
      </c>
      <c r="D39" s="82" t="s">
        <v>84</v>
      </c>
      <c r="E39" s="70">
        <v>411.76</v>
      </c>
      <c r="F39" s="70">
        <v>416.8</v>
      </c>
      <c r="G39" s="70">
        <v>253.79</v>
      </c>
      <c r="H39" s="70">
        <v>-1.21</v>
      </c>
      <c r="I39" s="70">
        <v>62.24</v>
      </c>
      <c r="J39" s="83">
        <v>1.4673</v>
      </c>
      <c r="K39" s="83">
        <v>6.7018000000000004</v>
      </c>
      <c r="L39" s="83">
        <v>-2.93951916971542E-2</v>
      </c>
      <c r="M39" s="83">
        <v>-0.12564449604904199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25">
      <c r="A40" s="72"/>
      <c r="B40" s="82">
        <v>6</v>
      </c>
      <c r="C40" s="82" t="s">
        <v>85</v>
      </c>
      <c r="D40" s="82" t="s">
        <v>84</v>
      </c>
      <c r="E40" s="70">
        <v>411.59</v>
      </c>
      <c r="F40" s="70">
        <v>416.62</v>
      </c>
      <c r="G40" s="70">
        <v>255.8</v>
      </c>
      <c r="H40" s="70">
        <v>-1.21</v>
      </c>
      <c r="I40" s="70">
        <v>60.9</v>
      </c>
      <c r="J40" s="83">
        <v>1.14E-2</v>
      </c>
      <c r="K40" s="83">
        <v>8.7400000000000005E-2</v>
      </c>
      <c r="L40" s="83">
        <v>-2.08476536859247E-4</v>
      </c>
      <c r="M40" s="83">
        <v>-1.5332698652534399E-3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72"/>
      <c r="B41" s="82">
        <v>7</v>
      </c>
      <c r="C41" s="82" t="s">
        <v>42</v>
      </c>
      <c r="D41" s="82" t="s">
        <v>30</v>
      </c>
      <c r="E41" s="70">
        <v>4753.6400000000003</v>
      </c>
      <c r="F41" s="70">
        <v>4795.34</v>
      </c>
      <c r="G41" s="70">
        <v>3153.78</v>
      </c>
      <c r="H41" s="70">
        <v>-0.87</v>
      </c>
      <c r="I41" s="70">
        <v>50.73</v>
      </c>
      <c r="J41" s="83">
        <v>0.61450000000000005</v>
      </c>
      <c r="K41" s="83">
        <v>1.4370000000000001</v>
      </c>
      <c r="L41" s="83">
        <v>-1.2329898037103999E-2</v>
      </c>
      <c r="M41" s="83">
        <v>-2.70134272623745E-2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72"/>
      <c r="B42" s="82">
        <v>8</v>
      </c>
      <c r="C42" s="82" t="s">
        <v>63</v>
      </c>
      <c r="D42" s="82" t="s">
        <v>26</v>
      </c>
      <c r="E42" s="70">
        <v>246.83</v>
      </c>
      <c r="F42" s="70">
        <v>247.48</v>
      </c>
      <c r="G42" s="70">
        <v>315.81</v>
      </c>
      <c r="H42" s="70">
        <v>-0.26</v>
      </c>
      <c r="I42" s="70">
        <v>-21.84</v>
      </c>
      <c r="J42" s="83">
        <v>0.79669999999999996</v>
      </c>
      <c r="K42" s="83">
        <v>0.47110000000000002</v>
      </c>
      <c r="L42" s="83">
        <v>-1.2210768587470201E-3</v>
      </c>
      <c r="M42" s="83">
        <v>-6.6906321392880004E-4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72"/>
      <c r="B43" s="82">
        <v>9</v>
      </c>
      <c r="C43" s="82" t="s">
        <v>60</v>
      </c>
      <c r="D43" s="82" t="s">
        <v>35</v>
      </c>
      <c r="E43" s="70">
        <v>195.75</v>
      </c>
      <c r="F43" s="70">
        <v>196.11</v>
      </c>
      <c r="G43" s="70">
        <v>177.07</v>
      </c>
      <c r="H43" s="70">
        <v>-0.18</v>
      </c>
      <c r="I43" s="70">
        <v>10.55</v>
      </c>
      <c r="J43" s="83">
        <v>0.71240000000000003</v>
      </c>
      <c r="K43" s="83">
        <v>0.94130000000000003</v>
      </c>
      <c r="L43" s="83">
        <v>8.1305849375106799E-3</v>
      </c>
      <c r="M43" s="83">
        <v>1.00638258428455E-2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72"/>
      <c r="B44" s="82">
        <v>10</v>
      </c>
      <c r="C44" s="82" t="s">
        <v>34</v>
      </c>
      <c r="D44" s="82" t="s">
        <v>35</v>
      </c>
      <c r="E44" s="70">
        <v>235.77</v>
      </c>
      <c r="F44" s="70">
        <v>236</v>
      </c>
      <c r="G44" s="70">
        <v>312.14</v>
      </c>
      <c r="H44" s="70">
        <v>-0.1</v>
      </c>
      <c r="I44" s="70">
        <v>-24.47</v>
      </c>
      <c r="J44" s="83">
        <v>1.1779999999999999</v>
      </c>
      <c r="K44" s="83">
        <v>1.4423999999999999</v>
      </c>
      <c r="L44" s="83">
        <v>7.9816731254683804E-3</v>
      </c>
      <c r="M44" s="83">
        <v>9.1438639236933201E-3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72"/>
      <c r="B45" s="82">
        <v>11</v>
      </c>
      <c r="C45" s="82" t="s">
        <v>36</v>
      </c>
      <c r="D45" s="82" t="s">
        <v>26</v>
      </c>
      <c r="E45" s="70">
        <v>465.55</v>
      </c>
      <c r="F45" s="70">
        <v>465.58</v>
      </c>
      <c r="G45" s="70">
        <v>458.27</v>
      </c>
      <c r="H45" s="70">
        <v>-0.01</v>
      </c>
      <c r="I45" s="70">
        <v>1.59</v>
      </c>
      <c r="J45" s="83">
        <v>0.28549999999999998</v>
      </c>
      <c r="K45" s="83">
        <v>0.32690000000000002</v>
      </c>
      <c r="L45" s="83">
        <v>-8.9347087225414998E-5</v>
      </c>
      <c r="M45" s="83">
        <v>-8.3632901741088404E-5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3.1" customHeight="1" x14ac:dyDescent="0.25">
      <c r="A46" s="72"/>
      <c r="B46" s="84" t="s">
        <v>58</v>
      </c>
      <c r="C46" s="84"/>
      <c r="D46" s="84"/>
      <c r="E46" s="85"/>
      <c r="F46" s="85"/>
      <c r="G46" s="85"/>
      <c r="H46" s="85"/>
      <c r="I46" s="85"/>
      <c r="J46" s="86">
        <f>SUM(J35:J45)</f>
        <v>17.907599999999999</v>
      </c>
      <c r="K46" s="86">
        <f>SUM(K35:K45)</f>
        <v>29.266199999999994</v>
      </c>
      <c r="L46" s="86">
        <f>SUM(L35:L45)</f>
        <v>-0.71051781997872376</v>
      </c>
      <c r="M46" s="83">
        <f>SUM(M35:M45)</f>
        <v>-0.84193242182763017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72"/>
      <c r="B47" s="80" t="s">
        <v>155</v>
      </c>
      <c r="C47" s="81"/>
      <c r="D47" s="81"/>
      <c r="E47" s="87"/>
      <c r="F47" s="87"/>
      <c r="G47" s="87"/>
      <c r="H47" s="87"/>
      <c r="I47" s="87"/>
      <c r="J47" s="88"/>
      <c r="K47" s="88"/>
      <c r="L47" s="88"/>
      <c r="M47" s="88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72"/>
      <c r="B48" s="82">
        <v>1</v>
      </c>
      <c r="C48" s="82" t="s">
        <v>62</v>
      </c>
      <c r="D48" s="82" t="s">
        <v>26</v>
      </c>
      <c r="E48" s="70">
        <v>258.64</v>
      </c>
      <c r="F48" s="70">
        <v>258.64</v>
      </c>
      <c r="G48" s="70">
        <v>293.35000000000002</v>
      </c>
      <c r="H48" s="70">
        <v>0</v>
      </c>
      <c r="I48" s="70">
        <v>-11.83</v>
      </c>
      <c r="J48" s="83">
        <v>0.65449999999999997</v>
      </c>
      <c r="K48" s="83">
        <v>0.46079999999999999</v>
      </c>
      <c r="L48" s="83">
        <v>0</v>
      </c>
      <c r="M48" s="83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72"/>
      <c r="B49" s="82">
        <v>2</v>
      </c>
      <c r="C49" s="82" t="s">
        <v>67</v>
      </c>
      <c r="D49" s="82" t="s">
        <v>30</v>
      </c>
      <c r="E49" s="70">
        <v>62.97</v>
      </c>
      <c r="F49" s="70">
        <v>62.97</v>
      </c>
      <c r="G49" s="70">
        <v>72.599999999999994</v>
      </c>
      <c r="H49" s="70">
        <v>0</v>
      </c>
      <c r="I49" s="70">
        <v>-13.26</v>
      </c>
      <c r="J49" s="83">
        <v>0.28439999999999999</v>
      </c>
      <c r="K49" s="83">
        <v>0.22789999999999999</v>
      </c>
      <c r="L49" s="83">
        <v>0</v>
      </c>
      <c r="M49" s="83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72"/>
      <c r="B50" s="82">
        <v>3</v>
      </c>
      <c r="C50" s="82" t="s">
        <v>68</v>
      </c>
      <c r="D50" s="82" t="s">
        <v>30</v>
      </c>
      <c r="E50" s="70">
        <v>368.65</v>
      </c>
      <c r="F50" s="70">
        <v>368.65</v>
      </c>
      <c r="G50" s="70">
        <v>320</v>
      </c>
      <c r="H50" s="70">
        <v>0</v>
      </c>
      <c r="I50" s="70">
        <v>15.2</v>
      </c>
      <c r="J50" s="83">
        <v>1.3895999999999999</v>
      </c>
      <c r="K50" s="83">
        <v>0.84540000000000004</v>
      </c>
      <c r="L50" s="83">
        <v>0</v>
      </c>
      <c r="M50" s="83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72"/>
      <c r="B51" s="82">
        <v>4</v>
      </c>
      <c r="C51" s="82" t="s">
        <v>69</v>
      </c>
      <c r="D51" s="82" t="s">
        <v>30</v>
      </c>
      <c r="E51" s="70">
        <v>447.06</v>
      </c>
      <c r="F51" s="70">
        <v>447.06</v>
      </c>
      <c r="G51" s="70">
        <v>447.07</v>
      </c>
      <c r="H51" s="70">
        <v>0</v>
      </c>
      <c r="I51" s="70">
        <v>0</v>
      </c>
      <c r="J51" s="83">
        <v>3.1478000000000002</v>
      </c>
      <c r="K51" s="83">
        <v>2.3913000000000002</v>
      </c>
      <c r="L51" s="83">
        <v>0</v>
      </c>
      <c r="M51" s="83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72"/>
      <c r="B52" s="82">
        <v>5</v>
      </c>
      <c r="C52" s="82" t="s">
        <v>73</v>
      </c>
      <c r="D52" s="82" t="s">
        <v>30</v>
      </c>
      <c r="E52" s="70">
        <v>248.31</v>
      </c>
      <c r="F52" s="70">
        <v>248.31</v>
      </c>
      <c r="G52" s="70">
        <v>239.99</v>
      </c>
      <c r="H52" s="70">
        <v>0</v>
      </c>
      <c r="I52" s="70">
        <v>3.47</v>
      </c>
      <c r="J52" s="83">
        <v>1.617</v>
      </c>
      <c r="K52" s="83">
        <v>1.0931</v>
      </c>
      <c r="L52" s="83">
        <v>0</v>
      </c>
      <c r="M52" s="83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72"/>
      <c r="B53" s="82">
        <v>6</v>
      </c>
      <c r="C53" s="82" t="s">
        <v>76</v>
      </c>
      <c r="D53" s="82" t="s">
        <v>77</v>
      </c>
      <c r="E53" s="70">
        <v>2499</v>
      </c>
      <c r="F53" s="70">
        <v>2499</v>
      </c>
      <c r="G53" s="70">
        <v>2499</v>
      </c>
      <c r="H53" s="70">
        <v>0</v>
      </c>
      <c r="I53" s="70">
        <v>0</v>
      </c>
      <c r="J53" s="83">
        <v>0.63500000000000001</v>
      </c>
      <c r="K53" s="83">
        <v>0.51219999999999999</v>
      </c>
      <c r="L53" s="83">
        <v>0</v>
      </c>
      <c r="M53" s="83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72"/>
      <c r="B54" s="82">
        <v>7</v>
      </c>
      <c r="C54" s="82" t="s">
        <v>78</v>
      </c>
      <c r="D54" s="82" t="s">
        <v>77</v>
      </c>
      <c r="E54" s="70">
        <v>699</v>
      </c>
      <c r="F54" s="70">
        <v>699</v>
      </c>
      <c r="G54" s="70">
        <v>599</v>
      </c>
      <c r="H54" s="70">
        <v>0</v>
      </c>
      <c r="I54" s="70">
        <v>16.690000000000001</v>
      </c>
      <c r="J54" s="83">
        <v>0.21099999999999999</v>
      </c>
      <c r="K54" s="83">
        <v>0.16400000000000001</v>
      </c>
      <c r="L54" s="83">
        <v>0</v>
      </c>
      <c r="M54" s="83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72"/>
      <c r="B55" s="82">
        <v>8</v>
      </c>
      <c r="C55" s="82" t="s">
        <v>79</v>
      </c>
      <c r="D55" s="82" t="s">
        <v>77</v>
      </c>
      <c r="E55" s="70">
        <v>1499</v>
      </c>
      <c r="F55" s="70">
        <v>1499</v>
      </c>
      <c r="G55" s="70">
        <v>1399</v>
      </c>
      <c r="H55" s="70">
        <v>0</v>
      </c>
      <c r="I55" s="70">
        <v>7.15</v>
      </c>
      <c r="J55" s="83">
        <v>0.9919</v>
      </c>
      <c r="K55" s="83">
        <v>1.0147999999999999</v>
      </c>
      <c r="L55" s="83">
        <v>0</v>
      </c>
      <c r="M55" s="83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72"/>
      <c r="B56" s="82">
        <v>9</v>
      </c>
      <c r="C56" s="82" t="s">
        <v>132</v>
      </c>
      <c r="D56" s="82" t="s">
        <v>81</v>
      </c>
      <c r="E56" s="70">
        <v>2566.5</v>
      </c>
      <c r="F56" s="70">
        <v>2566.5</v>
      </c>
      <c r="G56" s="70">
        <v>1976.5</v>
      </c>
      <c r="H56" s="70">
        <v>0</v>
      </c>
      <c r="I56" s="70">
        <v>29.85</v>
      </c>
      <c r="J56" s="83">
        <v>2.0674000000000001</v>
      </c>
      <c r="K56" s="83">
        <v>3.0667</v>
      </c>
      <c r="L56" s="83">
        <v>0</v>
      </c>
      <c r="M56" s="83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72"/>
      <c r="B57" s="82">
        <v>10</v>
      </c>
      <c r="C57" s="82" t="s">
        <v>55</v>
      </c>
      <c r="D57" s="82" t="s">
        <v>56</v>
      </c>
      <c r="E57" s="70">
        <v>1490.46</v>
      </c>
      <c r="F57" s="70">
        <v>1490.46</v>
      </c>
      <c r="G57" s="70">
        <v>1316.32</v>
      </c>
      <c r="H57" s="70">
        <v>0</v>
      </c>
      <c r="I57" s="70">
        <v>13.23</v>
      </c>
      <c r="J57" s="83">
        <v>5.0812999999999997</v>
      </c>
      <c r="K57" s="83">
        <v>1.1969000000000001</v>
      </c>
      <c r="L57" s="83">
        <v>0</v>
      </c>
      <c r="M57" s="83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72"/>
      <c r="B58" s="82">
        <v>11</v>
      </c>
      <c r="C58" s="82" t="s">
        <v>82</v>
      </c>
      <c r="D58" s="82" t="s">
        <v>30</v>
      </c>
      <c r="E58" s="70">
        <v>402.11</v>
      </c>
      <c r="F58" s="70">
        <v>402.11</v>
      </c>
      <c r="G58" s="70">
        <v>382.86</v>
      </c>
      <c r="H58" s="70">
        <v>0</v>
      </c>
      <c r="I58" s="70">
        <v>5.03</v>
      </c>
      <c r="J58" s="83">
        <v>0.2495</v>
      </c>
      <c r="K58" s="83">
        <v>0.33739999999999998</v>
      </c>
      <c r="L58" s="83">
        <v>0</v>
      </c>
      <c r="M58" s="83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72"/>
      <c r="B59" s="82">
        <v>12</v>
      </c>
      <c r="C59" s="82" t="s">
        <v>43</v>
      </c>
      <c r="D59" s="82" t="s">
        <v>30</v>
      </c>
      <c r="E59" s="70">
        <v>6.24</v>
      </c>
      <c r="F59" s="70">
        <v>6.24</v>
      </c>
      <c r="G59" s="70">
        <v>6.24</v>
      </c>
      <c r="H59" s="70">
        <v>0</v>
      </c>
      <c r="I59" s="70">
        <v>0</v>
      </c>
      <c r="J59" s="83">
        <v>0.34949999999999998</v>
      </c>
      <c r="K59" s="83">
        <v>0.19689999999999999</v>
      </c>
      <c r="L59" s="83">
        <v>0</v>
      </c>
      <c r="M59" s="83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72"/>
      <c r="B60" s="82">
        <v>13</v>
      </c>
      <c r="C60" s="82" t="s">
        <v>86</v>
      </c>
      <c r="D60" s="82" t="s">
        <v>87</v>
      </c>
      <c r="E60" s="70">
        <v>1.79</v>
      </c>
      <c r="F60" s="70">
        <v>1.79</v>
      </c>
      <c r="G60" s="70">
        <v>1.79</v>
      </c>
      <c r="H60" s="70">
        <v>0</v>
      </c>
      <c r="I60" s="70">
        <v>0</v>
      </c>
      <c r="J60" s="83">
        <v>6.4500000000000002E-2</v>
      </c>
      <c r="K60" s="83">
        <v>0.54679999999999995</v>
      </c>
      <c r="L60" s="83">
        <v>0</v>
      </c>
      <c r="M60" s="83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72"/>
      <c r="B61" s="82">
        <v>14</v>
      </c>
      <c r="C61" s="82" t="s">
        <v>88</v>
      </c>
      <c r="D61" s="82" t="s">
        <v>30</v>
      </c>
      <c r="E61" s="70">
        <v>116.28</v>
      </c>
      <c r="F61" s="70">
        <v>116.28</v>
      </c>
      <c r="G61" s="70">
        <v>111.48</v>
      </c>
      <c r="H61" s="70">
        <v>0</v>
      </c>
      <c r="I61" s="70">
        <v>4.3099999999999996</v>
      </c>
      <c r="J61" s="83">
        <v>0.85289999999999999</v>
      </c>
      <c r="K61" s="83">
        <v>0.6784</v>
      </c>
      <c r="L61" s="83">
        <v>0</v>
      </c>
      <c r="M61" s="83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72"/>
      <c r="B62" s="84" t="s">
        <v>58</v>
      </c>
      <c r="C62" s="84"/>
      <c r="D62" s="84"/>
      <c r="E62" s="85"/>
      <c r="F62" s="85"/>
      <c r="G62" s="85"/>
      <c r="H62" s="85"/>
      <c r="I62" s="85"/>
      <c r="J62" s="86">
        <f>SUM(J48:J61)</f>
        <v>17.596299999999999</v>
      </c>
      <c r="K62" s="86">
        <f>SUM(K48:K61)</f>
        <v>12.732599999999998</v>
      </c>
      <c r="L62" s="86">
        <f>SUM(L48:L61)</f>
        <v>0</v>
      </c>
      <c r="M62" s="83">
        <f>SUM(M48:M61)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72"/>
      <c r="B63" s="72"/>
      <c r="C63" s="72"/>
      <c r="D63" s="72"/>
      <c r="E63" s="89"/>
      <c r="F63" s="89"/>
      <c r="G63" s="89"/>
      <c r="H63" s="89"/>
      <c r="I63" s="89"/>
      <c r="J63" s="90"/>
      <c r="K63" s="90"/>
      <c r="L63" s="90"/>
      <c r="M63" s="90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72"/>
      <c r="B64" s="72"/>
      <c r="C64" s="72"/>
      <c r="D64" s="72"/>
      <c r="E64" s="89"/>
      <c r="F64" s="89"/>
      <c r="G64" s="89"/>
      <c r="H64" s="89"/>
      <c r="I64" s="89"/>
      <c r="J64" s="90">
        <f>SUM(J33,J46,J62)</f>
        <v>100</v>
      </c>
      <c r="K64" s="90">
        <f>SUM(K33,K46,K62)</f>
        <v>100</v>
      </c>
      <c r="L64" s="90">
        <f>SUM(L33,L46,L62)</f>
        <v>-6.2334484520914057E-2</v>
      </c>
      <c r="M64" s="90">
        <f>SUM(M33,M46,M62)</f>
        <v>-0.32689313527203856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72"/>
      <c r="B65" s="72"/>
      <c r="C65" s="72"/>
      <c r="D65" s="72"/>
      <c r="E65" s="89"/>
      <c r="F65" s="89"/>
      <c r="G65" s="89"/>
      <c r="H65" s="89"/>
      <c r="I65" s="89"/>
      <c r="J65" s="90"/>
      <c r="K65" s="90"/>
      <c r="L65" s="90"/>
      <c r="M65" s="90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72"/>
      <c r="B66" s="72"/>
      <c r="C66" s="72"/>
      <c r="D66" s="72"/>
      <c r="E66" s="89"/>
      <c r="F66" s="89"/>
      <c r="G66" s="89"/>
      <c r="H66" s="89"/>
      <c r="I66" s="89"/>
      <c r="J66" s="90"/>
      <c r="K66" s="90"/>
      <c r="L66" s="90"/>
      <c r="M66" s="90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72"/>
      <c r="B67" s="72"/>
      <c r="C67" s="72"/>
      <c r="D67" s="72"/>
      <c r="E67" s="89"/>
      <c r="F67" s="89"/>
      <c r="G67" s="89"/>
      <c r="H67" s="89"/>
      <c r="I67" s="89"/>
      <c r="J67" s="90"/>
      <c r="K67" s="90"/>
      <c r="L67" s="90"/>
      <c r="M67" s="90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72"/>
      <c r="B68" s="72"/>
      <c r="C68" s="72"/>
      <c r="D68" s="72"/>
      <c r="E68" s="89"/>
      <c r="F68" s="89"/>
      <c r="G68" s="89"/>
      <c r="H68" s="89"/>
      <c r="I68" s="89"/>
      <c r="J68" s="90"/>
      <c r="K68" s="90"/>
      <c r="L68" s="90"/>
      <c r="M68" s="90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72"/>
      <c r="B69" s="72"/>
      <c r="C69" s="72"/>
      <c r="D69" s="72"/>
      <c r="E69" s="89"/>
      <c r="F69" s="89"/>
      <c r="G69" s="89"/>
      <c r="H69" s="89"/>
      <c r="I69" s="89"/>
      <c r="J69" s="90"/>
      <c r="K69" s="90"/>
      <c r="L69" s="90"/>
      <c r="M69" s="90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72"/>
      <c r="B70" s="72"/>
      <c r="C70" s="72"/>
      <c r="D70" s="72"/>
      <c r="E70" s="89"/>
      <c r="F70" s="89"/>
      <c r="G70" s="89"/>
      <c r="H70" s="89"/>
      <c r="I70" s="89"/>
      <c r="J70" s="90"/>
      <c r="K70" s="90"/>
      <c r="L70" s="90"/>
      <c r="M70" s="9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91"/>
      <c r="F71" s="91"/>
      <c r="G71" s="91"/>
      <c r="H71" s="91"/>
      <c r="I71" s="91"/>
      <c r="J71" s="92"/>
      <c r="K71" s="92"/>
      <c r="L71" s="92"/>
      <c r="M71" s="92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91"/>
      <c r="F72" s="91"/>
      <c r="G72" s="91"/>
      <c r="H72" s="91"/>
      <c r="I72" s="91"/>
      <c r="J72" s="92"/>
      <c r="K72" s="92"/>
      <c r="L72" s="92"/>
      <c r="M72" s="92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91"/>
      <c r="F73" s="91"/>
      <c r="G73" s="91"/>
      <c r="H73" s="91"/>
      <c r="I73" s="91"/>
      <c r="J73" s="92"/>
      <c r="K73" s="92"/>
      <c r="L73" s="92"/>
      <c r="M73" s="92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91"/>
      <c r="F74" s="91"/>
      <c r="G74" s="91"/>
      <c r="H74" s="91"/>
      <c r="I74" s="91"/>
      <c r="J74" s="92"/>
      <c r="K74" s="92"/>
      <c r="L74" s="92"/>
      <c r="M74" s="92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91"/>
      <c r="F75" s="91"/>
      <c r="G75" s="91"/>
      <c r="H75" s="91"/>
      <c r="I75" s="91"/>
      <c r="J75" s="92"/>
      <c r="K75" s="92"/>
      <c r="L75" s="92"/>
      <c r="M75" s="92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91"/>
      <c r="F76" s="91"/>
      <c r="G76" s="91"/>
      <c r="H76" s="91"/>
      <c r="I76" s="91"/>
      <c r="J76" s="92"/>
      <c r="K76" s="92"/>
      <c r="L76" s="92"/>
      <c r="M76" s="92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91"/>
      <c r="F77" s="91"/>
      <c r="G77" s="91"/>
      <c r="H77" s="91"/>
      <c r="I77" s="91"/>
      <c r="J77" s="92"/>
      <c r="K77" s="92"/>
      <c r="L77" s="92"/>
      <c r="M77" s="92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91"/>
      <c r="F78" s="91"/>
      <c r="G78" s="91"/>
      <c r="H78" s="91"/>
      <c r="I78" s="91"/>
      <c r="J78" s="92"/>
      <c r="K78" s="92"/>
      <c r="L78" s="92"/>
      <c r="M78" s="92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91"/>
      <c r="F79" s="91"/>
      <c r="G79" s="91"/>
      <c r="H79" s="91"/>
      <c r="I79" s="91"/>
      <c r="J79" s="92"/>
      <c r="K79" s="92"/>
      <c r="L79" s="92"/>
      <c r="M79" s="92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91"/>
      <c r="F80" s="91"/>
      <c r="G80" s="91"/>
      <c r="H80" s="91"/>
      <c r="I80" s="91"/>
      <c r="J80" s="92"/>
      <c r="K80" s="92"/>
      <c r="L80" s="92"/>
      <c r="M80" s="92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33:I33"/>
    <mergeCell ref="B34:M34"/>
    <mergeCell ref="B46:I46"/>
    <mergeCell ref="B47:M47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6"/>
  <sheetViews>
    <sheetView tabSelected="1" view="pageBreakPreview" zoomScale="120" zoomScaleNormal="120" zoomScaleSheetLayoutView="120"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G91" sqref="G91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4" t="s">
        <v>125</v>
      </c>
      <c r="B3" s="45"/>
      <c r="C3" s="45"/>
      <c r="D3" s="46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4" t="s">
        <v>126</v>
      </c>
      <c r="B16" s="45"/>
      <c r="C16" s="45"/>
      <c r="D16" s="46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4" t="s">
        <v>130</v>
      </c>
      <c r="B29" s="45"/>
      <c r="C29" s="45"/>
      <c r="D29" s="46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4" t="s">
        <v>131</v>
      </c>
      <c r="B42" s="45"/>
      <c r="C42" s="45"/>
      <c r="D42" s="46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25.5" customHeight="1" thickBot="1" x14ac:dyDescent="0.3">
      <c r="A53" s="51" t="s">
        <v>105</v>
      </c>
      <c r="B53" s="51"/>
      <c r="C53" s="51"/>
      <c r="D53" s="51"/>
    </row>
    <row r="54" spans="1:7" ht="40.5" customHeight="1" thickBot="1" x14ac:dyDescent="0.3">
      <c r="A54" s="6" t="s">
        <v>90</v>
      </c>
      <c r="B54" s="7" t="s">
        <v>115</v>
      </c>
      <c r="C54" s="7" t="s">
        <v>106</v>
      </c>
      <c r="D54" s="7" t="s">
        <v>107</v>
      </c>
    </row>
    <row r="55" spans="1:7" ht="13.5" thickBot="1" x14ac:dyDescent="0.3">
      <c r="A55" s="48" t="s">
        <v>125</v>
      </c>
      <c r="B55" s="49"/>
      <c r="C55" s="49"/>
      <c r="D55" s="50"/>
    </row>
    <row r="56" spans="1:7" ht="13.5" thickBot="1" x14ac:dyDescent="0.3">
      <c r="A56" s="8" t="s">
        <v>108</v>
      </c>
      <c r="B56" s="9">
        <v>214.22</v>
      </c>
      <c r="C56" s="9">
        <v>15.19062214335645</v>
      </c>
      <c r="D56" s="9">
        <v>30.232840902182488</v>
      </c>
    </row>
    <row r="57" spans="1:7" ht="14.25" customHeight="1" thickBot="1" x14ac:dyDescent="0.3">
      <c r="A57" s="8" t="s">
        <v>109</v>
      </c>
      <c r="B57" s="9">
        <v>221.39</v>
      </c>
      <c r="C57" s="9">
        <v>3.3470264214358991</v>
      </c>
      <c r="D57" s="9">
        <v>26.313687453642927</v>
      </c>
    </row>
    <row r="58" spans="1:7" ht="15" customHeight="1" thickBot="1" x14ac:dyDescent="0.3">
      <c r="A58" s="8" t="s">
        <v>120</v>
      </c>
      <c r="B58" s="9">
        <v>239.15</v>
      </c>
      <c r="C58" s="9">
        <v>8.0220425493473044</v>
      </c>
      <c r="D58" s="9">
        <v>34.899593862815891</v>
      </c>
    </row>
    <row r="59" spans="1:7" ht="15" customHeight="1" thickBot="1" x14ac:dyDescent="0.3">
      <c r="A59" s="6" t="s">
        <v>124</v>
      </c>
      <c r="B59" s="10">
        <v>260.18</v>
      </c>
      <c r="C59" s="10">
        <v>8.7936441563872165</v>
      </c>
      <c r="D59" s="10">
        <v>39.904285637468405</v>
      </c>
      <c r="E59" s="29"/>
      <c r="F59" s="29"/>
      <c r="G59" s="29"/>
    </row>
    <row r="60" spans="1:7" ht="15" customHeight="1" thickBot="1" x14ac:dyDescent="0.3">
      <c r="A60" s="44" t="s">
        <v>126</v>
      </c>
      <c r="B60" s="45"/>
      <c r="C60" s="45"/>
      <c r="D60" s="46"/>
    </row>
    <row r="61" spans="1:7" ht="15" customHeight="1" thickBot="1" x14ac:dyDescent="0.3">
      <c r="A61" s="8" t="s">
        <v>108</v>
      </c>
      <c r="B61" s="10">
        <v>277.94</v>
      </c>
      <c r="C61" s="10">
        <v>6.8260435083403763</v>
      </c>
      <c r="D61" s="10">
        <v>29.745121837363456</v>
      </c>
    </row>
    <row r="62" spans="1:7" ht="13.5" customHeight="1" thickBot="1" x14ac:dyDescent="0.3">
      <c r="A62" s="8" t="s">
        <v>127</v>
      </c>
      <c r="B62" s="10">
        <v>295.24666666666667</v>
      </c>
      <c r="C62" s="10">
        <v>6.2267635700750787</v>
      </c>
      <c r="D62" s="10">
        <v>33.360434828432489</v>
      </c>
      <c r="E62" s="29"/>
      <c r="F62" s="29"/>
      <c r="G62" s="29"/>
    </row>
    <row r="63" spans="1:7" ht="13.5" customHeight="1" thickBot="1" x14ac:dyDescent="0.3">
      <c r="A63" s="25" t="s">
        <v>128</v>
      </c>
      <c r="B63" s="26">
        <v>312.48</v>
      </c>
      <c r="C63" s="26">
        <v>5.8369273150134404</v>
      </c>
      <c r="D63" s="26">
        <v>30.662763955676354</v>
      </c>
    </row>
    <row r="64" spans="1:7" ht="13.5" customHeight="1" thickBot="1" x14ac:dyDescent="0.3">
      <c r="A64" s="27" t="s">
        <v>129</v>
      </c>
      <c r="B64" s="26">
        <v>306.61666666666667</v>
      </c>
      <c r="C64" s="26">
        <v>-1.8763867554190199</v>
      </c>
      <c r="D64" s="26">
        <v>17.847900171676017</v>
      </c>
    </row>
    <row r="65" spans="1:7" ht="13.5" customHeight="1" thickBot="1" x14ac:dyDescent="0.3">
      <c r="A65" s="44" t="s">
        <v>130</v>
      </c>
      <c r="B65" s="45"/>
      <c r="C65" s="45"/>
      <c r="D65" s="46"/>
    </row>
    <row r="66" spans="1:7" ht="15" customHeight="1" thickBot="1" x14ac:dyDescent="0.3">
      <c r="A66" s="34" t="s">
        <v>108</v>
      </c>
      <c r="B66" s="30">
        <f>AVERAGE(B30:B32)</f>
        <v>310.92666666666668</v>
      </c>
      <c r="C66" s="31">
        <f>B66/B64*100-100</f>
        <v>1.4056639669511384</v>
      </c>
      <c r="D66" s="31">
        <f>B66/B61*100-100</f>
        <v>11.868268930944325</v>
      </c>
    </row>
    <row r="67" spans="1:7" ht="13.5" thickBot="1" x14ac:dyDescent="0.3">
      <c r="A67" s="40" t="s">
        <v>127</v>
      </c>
      <c r="B67" s="26">
        <f>AVERAGE(B33:B35)</f>
        <v>315.93666666666667</v>
      </c>
      <c r="C67" s="38">
        <f>B67/B66*100-100</f>
        <v>1.6113124209352634</v>
      </c>
      <c r="D67" s="39">
        <f>B67/B62*100-100</f>
        <v>7.0076997764580966</v>
      </c>
      <c r="F67" s="33"/>
      <c r="G67" s="33"/>
    </row>
    <row r="68" spans="1:7" ht="13.5" thickBot="1" x14ac:dyDescent="0.3">
      <c r="A68" s="40" t="s">
        <v>128</v>
      </c>
      <c r="B68" s="26">
        <f>AVERAGE(B36:B38)</f>
        <v>310.56</v>
      </c>
      <c r="C68" s="38">
        <f>B68/B67*100-100</f>
        <v>-1.701817874890537</v>
      </c>
      <c r="D68" s="39">
        <f>B68/B63*100-100</f>
        <v>-0.61443932411674496</v>
      </c>
      <c r="F68" s="33"/>
      <c r="G68" s="33"/>
    </row>
    <row r="69" spans="1:7" ht="13.5" thickBot="1" x14ac:dyDescent="0.3">
      <c r="A69" s="41" t="s">
        <v>129</v>
      </c>
      <c r="B69" s="26">
        <f>AVERAGE(B39:B41)</f>
        <v>300.32</v>
      </c>
      <c r="C69" s="38">
        <f>B69/B68*100-100</f>
        <v>-3.2972694487377652</v>
      </c>
      <c r="D69" s="39">
        <f>B69/B64*100-100</f>
        <v>-2.0535956949502747</v>
      </c>
      <c r="F69" s="33"/>
      <c r="G69" s="33"/>
    </row>
    <row r="70" spans="1:7" ht="13.5" thickBot="1" x14ac:dyDescent="0.3">
      <c r="A70" s="52" t="s">
        <v>131</v>
      </c>
      <c r="B70" s="53"/>
      <c r="C70" s="53"/>
      <c r="D70" s="54"/>
      <c r="F70" s="33"/>
      <c r="G70" s="33"/>
    </row>
    <row r="71" spans="1:7" ht="12.75" customHeight="1" thickBot="1" x14ac:dyDescent="0.3">
      <c r="A71" s="37" t="s">
        <v>108</v>
      </c>
      <c r="B71" s="38">
        <f>AVERAGE(B43:B45)</f>
        <v>317.38333333333333</v>
      </c>
      <c r="C71" s="38">
        <f>B71/B69*100-100</f>
        <v>5.6817172793464721</v>
      </c>
      <c r="D71" s="39">
        <f>B71/B66*100-100</f>
        <v>2.0765882630416428</v>
      </c>
    </row>
    <row r="72" spans="1:7" ht="12.75" customHeight="1" thickBot="1" x14ac:dyDescent="0.3">
      <c r="A72" s="40" t="s">
        <v>127</v>
      </c>
      <c r="B72" s="38">
        <f>AVERAGE(B46:B48)</f>
        <v>328.01333333333332</v>
      </c>
      <c r="C72" s="38">
        <f>B72/B71*100-100</f>
        <v>3.349262196082563</v>
      </c>
      <c r="D72" s="39">
        <f>B72/B67*100-100</f>
        <v>3.8224960698874213</v>
      </c>
    </row>
    <row r="73" spans="1:7" ht="12.75" customHeight="1" thickBot="1" x14ac:dyDescent="0.3">
      <c r="A73" s="42" t="s">
        <v>128</v>
      </c>
      <c r="B73" s="38">
        <f>AVERAGE(B49:B51)</f>
        <v>324.70333333333332</v>
      </c>
      <c r="C73" s="38">
        <f>B73/B72*100-100</f>
        <v>-1.0091053209219041</v>
      </c>
      <c r="D73" s="38">
        <f>B73/B68*100-100</f>
        <v>4.5541387600893017</v>
      </c>
    </row>
    <row r="74" spans="1:7" ht="27" customHeight="1" thickBot="1" x14ac:dyDescent="0.3">
      <c r="A74" s="32" t="s">
        <v>110</v>
      </c>
      <c r="B74" s="32"/>
      <c r="C74" s="32"/>
      <c r="D74" s="32"/>
    </row>
    <row r="75" spans="1:7" ht="37.5" customHeight="1" thickBot="1" x14ac:dyDescent="0.3">
      <c r="A75" s="40" t="s">
        <v>90</v>
      </c>
      <c r="B75" s="7" t="s">
        <v>115</v>
      </c>
      <c r="C75" s="7" t="s">
        <v>111</v>
      </c>
      <c r="D75" s="7" t="s">
        <v>112</v>
      </c>
    </row>
    <row r="76" spans="1:7" ht="17.25" customHeight="1" thickBot="1" x14ac:dyDescent="0.3">
      <c r="A76" s="48" t="s">
        <v>125</v>
      </c>
      <c r="B76" s="49"/>
      <c r="C76" s="49"/>
      <c r="D76" s="50"/>
    </row>
    <row r="77" spans="1:7" ht="14.25" customHeight="1" thickBot="1" x14ac:dyDescent="0.3">
      <c r="A77" s="15" t="s">
        <v>113</v>
      </c>
      <c r="B77" s="16">
        <v>217.81</v>
      </c>
      <c r="C77" s="17">
        <v>19.926219579341492</v>
      </c>
      <c r="D77" s="17">
        <v>28.214033435366161</v>
      </c>
      <c r="F77" s="29"/>
    </row>
    <row r="78" spans="1:7" ht="20.25" customHeight="1" thickBot="1" x14ac:dyDescent="0.3">
      <c r="A78" s="12" t="s">
        <v>114</v>
      </c>
      <c r="B78" s="13">
        <v>249.67</v>
      </c>
      <c r="C78" s="14">
        <v>14.62742757449152</v>
      </c>
      <c r="D78" s="14">
        <v>37.468340491135308</v>
      </c>
    </row>
    <row r="79" spans="1:7" ht="15" customHeight="1" thickBot="1" x14ac:dyDescent="0.3">
      <c r="A79" s="48" t="s">
        <v>126</v>
      </c>
      <c r="B79" s="49"/>
      <c r="C79" s="49"/>
      <c r="D79" s="50"/>
    </row>
    <row r="80" spans="1:7" ht="11.25" customHeight="1" thickBot="1" x14ac:dyDescent="0.3">
      <c r="A80" s="15" t="s">
        <v>113</v>
      </c>
      <c r="B80" s="21">
        <v>286.59499999999997</v>
      </c>
      <c r="C80" s="14">
        <v>14.789522169263421</v>
      </c>
      <c r="D80" s="14">
        <v>31.580276387677316</v>
      </c>
    </row>
    <row r="81" spans="1:4" ht="16.5" customHeight="1" thickBot="1" x14ac:dyDescent="0.3">
      <c r="A81" s="15" t="s">
        <v>114</v>
      </c>
      <c r="B81" s="21">
        <v>309.54666666666662</v>
      </c>
      <c r="C81" s="21">
        <v>8.0083974481992612</v>
      </c>
      <c r="D81" s="21">
        <v>23.982323333466837</v>
      </c>
    </row>
    <row r="82" spans="1:4" ht="13.5" thickBot="1" x14ac:dyDescent="0.3">
      <c r="A82" s="48" t="s">
        <v>130</v>
      </c>
      <c r="B82" s="49"/>
      <c r="C82" s="49"/>
      <c r="D82" s="50"/>
    </row>
    <row r="83" spans="1:4" ht="13.5" thickBot="1" x14ac:dyDescent="0.3">
      <c r="A83" s="15" t="s">
        <v>113</v>
      </c>
      <c r="B83" s="21">
        <f>AVERAGE(B30:B35)</f>
        <v>313.43166666666667</v>
      </c>
      <c r="C83" s="14">
        <f>B83/B81*100-100</f>
        <v>1.2550611647140073</v>
      </c>
      <c r="D83" s="14">
        <f>B83/B80*100-100</f>
        <v>9.3639688992015522</v>
      </c>
    </row>
    <row r="84" spans="1:4" ht="13.5" thickBot="1" x14ac:dyDescent="0.3">
      <c r="A84" s="15" t="s">
        <v>114</v>
      </c>
      <c r="B84" s="21">
        <f>AVERAGE(B36:B41)</f>
        <v>305.44</v>
      </c>
      <c r="C84" s="14">
        <f>B84/B83*100-100</f>
        <v>-2.5497317331263076</v>
      </c>
      <c r="D84" s="14">
        <f>B84/B81*100-100</f>
        <v>-1.3266712611991665</v>
      </c>
    </row>
    <row r="85" spans="1:4" ht="13.5" thickBot="1" x14ac:dyDescent="0.3">
      <c r="A85" s="48" t="s">
        <v>131</v>
      </c>
      <c r="B85" s="49"/>
      <c r="C85" s="49"/>
      <c r="D85" s="50"/>
    </row>
    <row r="86" spans="1:4" ht="13.5" thickBot="1" x14ac:dyDescent="0.3">
      <c r="A86" s="15" t="s">
        <v>113</v>
      </c>
      <c r="B86" s="21">
        <f>AVERAGE(B43:B48)</f>
        <v>322.69833333333332</v>
      </c>
      <c r="C86" s="14">
        <f>B86/B84*100-100</f>
        <v>5.6503186659682143</v>
      </c>
      <c r="D86" s="14">
        <f>B86/B83*100-100</f>
        <v>2.9565189647929628</v>
      </c>
    </row>
    <row r="87" spans="1:4" ht="15.75" x14ac:dyDescent="0.25">
      <c r="A87" s="11"/>
      <c r="B87" s="4"/>
      <c r="C87" s="47" t="s">
        <v>121</v>
      </c>
      <c r="D87" s="47"/>
    </row>
    <row r="88" spans="1:4" ht="18.75" x14ac:dyDescent="0.25">
      <c r="A88" s="18"/>
      <c r="B88" s="18"/>
      <c r="C88" s="47" t="s">
        <v>1</v>
      </c>
      <c r="D88" s="47"/>
    </row>
    <row r="89" spans="1:4" ht="15" customHeight="1" x14ac:dyDescent="0.25">
      <c r="A89" s="43" t="s">
        <v>142</v>
      </c>
      <c r="B89" s="4"/>
      <c r="C89" s="47" t="s">
        <v>143</v>
      </c>
      <c r="D89" s="47"/>
    </row>
    <row r="96" spans="1:4" s="20" customFormat="1" ht="15" x14ac:dyDescent="0.25">
      <c r="A96" s="19"/>
      <c r="B96" s="1"/>
      <c r="C96" s="1"/>
      <c r="D96" s="1"/>
    </row>
  </sheetData>
  <mergeCells count="16">
    <mergeCell ref="C89:D89"/>
    <mergeCell ref="A53:D53"/>
    <mergeCell ref="A76:D76"/>
    <mergeCell ref="A55:D55"/>
    <mergeCell ref="A79:D79"/>
    <mergeCell ref="A60:D60"/>
    <mergeCell ref="A82:D82"/>
    <mergeCell ref="A70:D70"/>
    <mergeCell ref="A3:D3"/>
    <mergeCell ref="C87:D87"/>
    <mergeCell ref="C88:D88"/>
    <mergeCell ref="A16:D16"/>
    <mergeCell ref="A29:D29"/>
    <mergeCell ref="A65:D65"/>
    <mergeCell ref="A42:D42"/>
    <mergeCell ref="A85:D8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ignoredErrors>
    <ignoredError sqref="B66:B69 B83:B84 B71:B73 B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2026-05-07T11:30:08Z</cp:lastPrinted>
  <dcterms:created xsi:type="dcterms:W3CDTF">2019-08-26T06:34:44Z</dcterms:created>
  <dcterms:modified xsi:type="dcterms:W3CDTF">2026-05-21T10:37:33Z</dcterms:modified>
</cp:coreProperties>
</file>